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trlProps/ctrlProp3.xml" ContentType="application/vnd.ms-excel.controlproperties+xml"/>
  <Override PartName="/xl/drawings/drawing5.xml" ContentType="application/vnd.openxmlformats-officedocument.drawing+xml"/>
  <Override PartName="/xl/ctrlProps/ctrlProp4.xml" ContentType="application/vnd.ms-excel.controlproperties+xml"/>
  <Override PartName="/xl/drawings/drawing6.xml" ContentType="application/vnd.openxmlformats-officedocument.drawing+xml"/>
  <Override PartName="/xl/ctrlProps/ctrlProp5.xml" ContentType="application/vnd.ms-excel.controlproperties+xml"/>
  <Override PartName="/xl/pivotTables/pivotTable1.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updateLinks="never" codeName="ThisWorkbook" hidePivotFieldList="1" defaultThemeVersion="124226"/>
  <mc:AlternateContent xmlns:mc="http://schemas.openxmlformats.org/markup-compatibility/2006">
    <mc:Choice Requires="x15">
      <x15ac:absPath xmlns:x15ac="http://schemas.microsoft.com/office/spreadsheetml/2010/11/ac" url="C:\Users\l96129\Desktop\GHMI Plus\参考\AM65X\EVM\IDK\AM65x AND DRA80xM EMIF Tool Spreadsheet\"/>
    </mc:Choice>
  </mc:AlternateContent>
  <xr:revisionPtr revIDLastSave="0" documentId="13_ncr:1_{F96C4FDF-9F58-4A12-863C-D2D9CD0E64B2}" xr6:coauthVersionLast="46" xr6:coauthVersionMax="46" xr10:uidLastSave="{00000000-0000-0000-0000-000000000000}"/>
  <workbookProtection workbookPassword="8E0D" lockStructure="1"/>
  <bookViews>
    <workbookView xWindow="-120" yWindow="-120" windowWidth="24240" windowHeight="13140" tabRatio="765" firstSheet="1" activeTab="8" xr2:uid="{00000000-000D-0000-FFFF-FFFF00000000}"/>
  </bookViews>
  <sheets>
    <sheet name="Title-README" sheetId="24" state="hidden" r:id="rId1"/>
    <sheet name="Step1-System Details" sheetId="20" r:id="rId2"/>
    <sheet name="Step2-DDR Timing" sheetId="21" r:id="rId3"/>
    <sheet name="Step3-Address Mapping" sheetId="26" r:id="rId4"/>
    <sheet name="VREF (DDR4)" sheetId="27" state="hidden" r:id="rId5"/>
    <sheet name="VREF (LPDDR4)" sheetId="29" state="hidden" r:id="rId6"/>
    <sheet name="Registers" sheetId="18" r:id="rId7"/>
    <sheet name="GEL" sheetId="25" r:id="rId8"/>
    <sheet name="u-boot" sheetId="28" r:id="rId9"/>
    <sheet name="RTOS" sheetId="31" r:id="rId10"/>
    <sheet name="IBIS" sheetId="30" r:id="rId11"/>
  </sheets>
  <externalReferences>
    <externalReference r:id="rId12"/>
  </externalReferences>
  <definedNames>
    <definedName name="_auto_nda_config" hidden="1">0</definedName>
    <definedName name="_company_project" hidden="1">'[1]Step1-SystemDetails'!$F$17</definedName>
    <definedName name="_company_project_invalid" comment="**********" localSheetId="7" hidden="1">IsSpecial([0]!_company_project)</definedName>
    <definedName name="_company_project_invalid" comment="**********" localSheetId="9" hidden="1">IsSpecial([0]!_company_project)</definedName>
    <definedName name="_company_project_invalid" comment="**********" localSheetId="5" hidden="1">IsSpecial([0]!_company_project)</definedName>
    <definedName name="_company_project_invalid" comment="**********" hidden="1">IsSpecial(_company_project)</definedName>
    <definedName name="_CTRL_CORE_CONTROL_DDRCACH1_0_VAL" comment="Register*****OFFSET: 0x000000*****" hidden="1">DEC2HEX(SUM(_ctrl_io_ch1_acc_i*2^29,_ctrl_io_ch1_acc_sr*2^26,_ctrl_io_ch1_acc_wd*2^24,_ctrl_io_ch1_acc_i*2^21,_ctrl_io_ch1_acc_sr*2^18,_ctrl_io_ch1_acc_wd*2^16,_ctrl_io_ch1_acc_i*2^13,_ctrl_io_ch1_acc_sr*2^10,_ctrl_io_ch1_acc_wd*2^8,_ctrl_io_ch1_acc_i*2^5,_ctrl_io_ch1_acc_sr*2^2,_ctrl_io_ch1_acc_wd),8)</definedName>
    <definedName name="_CTRL_CORE_CONTROL_DDRCH1_0_VAL" comment="Register*****OFFSET: 0x000000*****" hidden="1">DEC2HEX(SUM(_ctrl_io_ch1_ds_i*2^29,_ctrl_io_ch1_ds_sr*2^26,_ctrl_io_ch1_ds_wd*2^24,_ctrl_io_ch1_ds_i*2^21,_ctrl_io_ch1_ds_sr*2^18,_ctrl_io_ch1_ds_wd*2^16,_ctrl_io_ch1_ds_i*2^13,_ctrl_io_ch1_ds_sr*2^10,_ctrl_io_ch1_ds_wd*2^8,_ctrl_io_ch1_ds_i*2^5,_ctrl_io_ch1_ds_sr*2^2,_ctrl_io_ch1_ds_wd),8)</definedName>
    <definedName name="_CTRL_CORE_CONTROL_DDRIO_0" comment="**********" localSheetId="7" hidden="1">#N/A</definedName>
    <definedName name="_CTRL_CORE_CONTROL_DDRIO_0" comment="**********" localSheetId="9" hidden="1">#N/A</definedName>
    <definedName name="_CTRL_CORE_CONTROL_DDRIO_0" comment="**********" localSheetId="5" hidden="1">#N/A</definedName>
    <definedName name="_CTRL_CORE_CONTROL_DDRIO_0" comment="**********" hidden="1">IF('Title-README'!_soc_name="adaslow",DEC2HEX(642656,8),DEC2HEX(608832,8))</definedName>
    <definedName name="_CTRL_CORE_CONTROL_DDRIO_1" comment="**********" localSheetId="7" hidden="1">#N/A</definedName>
    <definedName name="_CTRL_CORE_CONTROL_DDRIO_1" comment="**********" localSheetId="9" hidden="1">#N/A</definedName>
    <definedName name="_CTRL_CORE_CONTROL_DDRIO_1" comment="**********" localSheetId="5" hidden="1">#N/A</definedName>
    <definedName name="_CTRL_CORE_CONTROL_DDRIO_1" comment="**********" hidden="1">IF('Title-README'!_soc_name="vayu",DEC2HEX(77930496,8),DEC2HEX(0,8))</definedName>
    <definedName name="_ctrl_io_ch1_acc_i" comment="Bit_Field_CTRL_CORE_CONTROL_DDRCACH1_0_VAL**********" hidden="1">MATCH(_emif_io_dr_acc,_emif_io_dr,0)-1</definedName>
    <definedName name="_ctrl_io_ch1_acc_sr" comment="Bit_Field_CTRL_CORE_CONTROL_DDRCACH1_0_VAL**********" hidden="1">MATCH(_emif_io_sr_acc,_emif_io_sr,0)-1</definedName>
    <definedName name="_ctrl_io_ch1_acc_wd" comment="Bit_Field_CTRL_CORE_CONTROL_DDRCACH1_0_VAL**********" hidden="1">0</definedName>
    <definedName name="_ctrl_io_ch1_ds_i" comment="Bit_Field_CTRL_CORE_CONTROL_DDRCH1_0_VAL**********" hidden="1">MATCH(_emif_io_dr_ds,_emif_io_dr,0)-1</definedName>
    <definedName name="_ctrl_io_ch1_ds_sr" comment="Bit_Field_CTRL_CORE_CONTROL_DDRCH1_0_VAL**********" hidden="1">MATCH(_emif_io_sr_ds,_emif_io_sr,0)-1</definedName>
    <definedName name="_ctrl_io_ch1_ds_wd" comment="Bit_Field_CTRL_CORE_CONTROL_DDRCH1_0_VAL**********" hidden="1">0</definedName>
    <definedName name="_ctrl_ratio0" comment="Bit_Field_PHY_CTRL_EXT*****PHY_CONTROL_EXT[009:000]*****" hidden="1">IF(_phy_invert_clk=1,256,128)</definedName>
    <definedName name="_ctrl_ratio1" comment="Bit_Field_PHY_CTRL_EXT*****PHY_CONTROL_EXT[019:010]*****" hidden="1">IF(_phy_invert_clk=1,256,128)</definedName>
    <definedName name="_ctrl_ratio2" comment="Bit_Field_PHY_CTRL_EXT*****PHY_CONTROL_EXT[029:020]*****" hidden="1">64</definedName>
    <definedName name="_ctrl_wkup_emif1_dis_reset" comment="Bit_Field_CTRL_WKUP_EMIF1_SDRAM_CONFIG_EXT*****CTRL_WKUP_EMIF1_SDRAM_CONFIG_EXT[07]*****Re-used for CTRL_CORE_EMIF2_SDRAM_CONFIG_EXT" hidden="1">0</definedName>
    <definedName name="_ctrl_wkup_emif1_en_ecc" comment="Bit_Field_CTRL_WKUP_EMIF1_SDRAM_CONFIG_EXT*****CTRL_WKUP_EMIF1_SDRAM_CONFIG_EXT[16]*****" hidden="1">IF(_user_ecc="Yes",1,0)</definedName>
    <definedName name="_ctrl_wkup_emif1_en_slice0" comment="Bit_Field_CTRL_WKUP_EMIF1_SDRAM_CONFIG_EXT*****CTRL_WKUP_EMIF1_SDRAM_CONFIG_EXT[00]*****Re-used for CTRL_CORE_EMIF2_SDRAM_CONFIG_EXT" hidden="1">1</definedName>
    <definedName name="_ctrl_wkup_emif1_en_slice1" comment="Bit_Field_CTRL_WKUP_EMIF1_SDRAM_CONFIG_EXT*****CTRL_WKUP_EMIF1_SDRAM_CONFIG_EXT[01]*****Re-used for CTRL_CORE_EMIF2_SDRAM_CONFIG_EXT" hidden="1">1</definedName>
    <definedName name="_ctrl_wkup_emif1_en_slice2" comment="Bit_Field_CTRL_WKUP_EMIF1_SDRAM_CONFIG_EXT*****CTRL_WKUP_EMIF1_SDRAM_CONFIG_EXT[02]*****Re-used for CTRL_CORE_EMIF2_SDRAM_CONFIG_EXT" hidden="1">IF(_sdram_type="LPDDR2",1,0)</definedName>
    <definedName name="_ctrl_wkup_emif1_odt" comment="Bit_Field_CTRL_WKUP_EMIF1_SDRAM_CONFIG_EXT*****CTRL_WKUP_EMIF1_SDRAM_CONFIG_EXT[06:05]*****Re-used for CTRL_CORE_EMIF2_SDRAM_CONFIG_EXT" hidden="1">MATCH(_emif_io_odt,_emif_io_odt_list,0)-1</definedName>
    <definedName name="_ctrl_wkup_emif1_phase_ctrl" comment="Bit_Field_CTRL_WKUP_EMIF1_SDRAM_CONFIG_EXT*****CTRL_WKUP_EMIF1_SDRAM_CONFIG_EXT[03]*****Re-used for CTRL_CORE_EMIF2_SDRAM_CONFIG_EXT" hidden="1">0</definedName>
    <definedName name="_ctrl_wkup_emif1_rdlvl_algo" comment="Bit_Field_CTRL_WKUP_EMIF1_SDRAM_CONFIG_EXT*****CTRL_WKUP_EMIF1_SDRAM_CONFIG_EXT[13]*****Re-used for CTRL_CORE_EMIF2_SDRAM_CONFIG_EXT" hidden="1">0</definedName>
    <definedName name="_ctrl_wkup_emif1_rdlvl_resp" comment="Bit_Field_CTRL_WKUP_EMIF1_SDRAM_CONFIG_EXT*****CTRL_WKUP_EMIF1_SDRAM_CONFIG_EXT[12]*****Re-used for CTRL_CORE_EMIF2_SDRAM_CONFIG_EXT" hidden="1">0</definedName>
    <definedName name="_ctrl_wkup_emif1_rdlvl_samp" comment="Bit_Field_CTRL_WKUP_EMIF1_SDRAM_CONFIG_EXT*****CTRL_WKUP_EMIF1_SDRAM_CONFIG_EXT[15:14]*****Re-used for CTRL_CORE_EMIF2_SDRAM_CONFIG_EXT" hidden="1">3</definedName>
    <definedName name="_ctrl_wkup_emif1_reserved" comment="Bit_Field_CTRL_WKUP_EMIF1_SDRAM_CONFIG_EXT*****CTRL_WKUP_EMIF1_SDRAM_CONFIG_EXT[04]*****Re-used for CTRL_CORE_EMIF2_SDRAM_CONFIG_EXT" hidden="1">1</definedName>
    <definedName name="_CTRL_WKUP_EMIF1_SDRAM_CONFIG_EXT" comment="Register*****OFFSET: 0x000000*****" hidden="1">DEC2HEX(SUM(_sdram_config_narrow_mode*2^17,_ctrl_wkup_emif1_en_ecc*2^16,_ctrl_wkup_emif1_rdlvl_samp*2^14,_ctrl_wkup_emif1_rdlvl_algo*2^13,_ctrl_wkup_emif1_rdlvl_resp*2^12,_ctrl_wkup_emif1_reserved*2^8,_ctrl_wkup_emif1_dis_reset*2^7,_ctrl_wkup_emif1_odt*2^5,_ctrl_wkup_emif1_phase_ctrl*2^3,_ctrl_wkup_emif1_en_slice2*2^2,_ctrl_wkup_emif1_en_slice1*2^1,_ctrl_wkup_emif1_en_slice0),8)</definedName>
    <definedName name="_ctrl_wkup_emif2_en_ecc" comment="Bit_Field_CTRL_WKUP_EMIF2_SDRAM_CONFIG_EXT*****CTRL_WKUP_EMIF2_SDRAM_CONFIG_EXT[16]*****" hidden="1">0</definedName>
    <definedName name="_CTRL_WKUP_EMIF2_SDRAM_CONFIG_EXT" comment="Register*****OFFSET: 0x000000*****" hidden="1">DEC2HEX(SUM(_sdram_config_narrow_mode*2^17,_ctrl_wkup_emif2_en_ecc*2^16,_ctrl_wkup_emif1_rdlvl_samp*2^14,_ctrl_wkup_emif1_rdlvl_algo*2^13,_ctrl_wkup_emif1_rdlvl_resp*2^12,_ctrl_wkup_emif1_reserved*2^8,_ctrl_wkup_emif1_dis_reset*2^7,_ctrl_wkup_emif1_odt*2^5,_ctrl_wkup_emif1_phase_ctrl*2^3,_ctrl_wkup_emif1_en_slice2*2^2,_ctrl_wkup_emif1_en_slice1*2^1,_ctrl_wkup_emif1_en_slice0),8)</definedName>
    <definedName name="_ddr_pll_dco_div2" comment="PLL_Info**********" hidden="1">_ddr_pll_freq*_ddr_pll_m2</definedName>
    <definedName name="_ddr_pll_freq" hidden="1">'[1]Step1-SystemDetails'!$F$22</definedName>
    <definedName name="_ddr_pll_m" comment="PLL_Info**********" hidden="1">ROUNDDOWN(_ddr_pll_dco_div2*(_ddr_pll_n+1)/_sysclk1,0)</definedName>
    <definedName name="_ddr_pll_m2" comment="PLL_Info*****Want EVEN value*****" hidden="1">MAX(IF(ISEVEN(ROUNDDOWN(_ddr_pll_m2_max,0)),ROUNDDOWN(_ddr_pll_m2_max,0),ROUNDDOWN(_ddr_pll_m2_max,0)-1),1)</definedName>
    <definedName name="_ddr_pll_m2_max" comment="PLL_Info*****Max CLKOUT = 1.4 GHz*****" hidden="1">1400/_ddr_pll_freq</definedName>
    <definedName name="_ddr_pll_mn_gcd" comment="PLL_Info**********" hidden="1">GCD(_ddr_pll_dco_div2*_sysclk1_mult,_sysclk1*_sysclk1_mult)</definedName>
    <definedName name="_ddr_pll_n" comment="PLL_Info**********" hidden="1">MIN((_sysclk1*_sysclk1_mult/_ddr_pll_mn_gcd)-1,ROUNDDOWN(_sysclk1-1,0))</definedName>
    <definedName name="_ddr2_3_width" comment="**********" hidden="1">{8;16}</definedName>
    <definedName name="_ddr2_ddr3_ecc" comment="**********" localSheetId="0" hidden="1">{"Yes";"No"}</definedName>
    <definedName name="_ddr2_ddr3_ecc" hidden="1">{"Yes";"No"}</definedName>
    <definedName name="_ddr2_densities" comment="JEDEC_DDR2_SPEC**********" localSheetId="0" hidden="1">{0.25;0.5;1;2;4}</definedName>
    <definedName name="_ddr2_densities" hidden="1">{0.25;0.5;1;2;4}</definedName>
    <definedName name="_ddr2_drive_imp" comment="JEDEC_DDR2_SPEC**********" localSheetId="0" hidden="1">{"Normal";"Weak"}</definedName>
    <definedName name="_ddr2_drive_imp" hidden="1">{"Normal";"Weak"}</definedName>
    <definedName name="_ddr2_lvl" comment="**********" localSheetId="0" hidden="1">{"S/W"}</definedName>
    <definedName name="_ddr2_lvl" hidden="1">{"S/W"}</definedName>
    <definedName name="_ddr2_rtt" comment="JEDEC_DDR2_SPEC**********" localSheetId="0" hidden="1">{"Disabled";"75 Ohm";"150 Ohm";"50 Ohm"}</definedName>
    <definedName name="_ddr2_rtt" hidden="1">{"Disabled";"75 Ohm";"150 Ohm";"50 Ohm"}</definedName>
    <definedName name="_ddr2_rttwr" comment="JEDEC_DDR2_SPEC**********" localSheetId="0" hidden="1">{"NA"}</definedName>
    <definedName name="_ddr2_rttwr" hidden="1">{"NA"}</definedName>
    <definedName name="_ddr2_sb_403_ck" comment="JEDEC_DDR2_SPEC**********INTERNAL ONLY" localSheetId="0" hidden="1">{5;5}</definedName>
    <definedName name="_ddr2_sb_403_ck" hidden="1">{5;5}</definedName>
    <definedName name="_ddr2_sb_403_cl" comment="JEDEC_DDR2_SPEC**********INTERNAL ONLY" localSheetId="0" hidden="1">{3;4}</definedName>
    <definedName name="_ddr2_sb_403_cl" hidden="1">{3;4}</definedName>
    <definedName name="_ddr2_sb_404_ck" comment="JEDEC_DDR2_SPEC**********INTERNAL ONLY" localSheetId="0" hidden="1">{5}</definedName>
    <definedName name="_ddr2_sb_404_ck" hidden="1">{5}</definedName>
    <definedName name="_ddr2_sb_404_cl" comment="JEDEC_DDR2_SPEC**********INTERNAL ONLY" localSheetId="0" hidden="1">{4}</definedName>
    <definedName name="_ddr2_sb_404_cl" hidden="1">{4}</definedName>
    <definedName name="_ddr2_sb_536_ck" comment="JEDEC_DDR2_SPEC**********INTERNAL ONLY" localSheetId="0" hidden="1">{3.75;3.75}</definedName>
    <definedName name="_ddr2_sb_536_ck" hidden="1">{3.75;3.75}</definedName>
    <definedName name="_ddr2_sb_536_cl" comment="JEDEC_DDR2_SPEC**********INTERNAL ONLY" localSheetId="0" hidden="1">{3;4}</definedName>
    <definedName name="_ddr2_sb_536_cl" hidden="1">{3;4}</definedName>
    <definedName name="_ddr2_sb_537_ck" comment="JEDEC_DDR2_SPEC**********INTERNAL ONLY" localSheetId="0" hidden="1">{5;3.75}</definedName>
    <definedName name="_ddr2_sb_537_ck" hidden="1">{5;3.75}</definedName>
    <definedName name="_ddr2_sb_537_cl" comment="JEDEC_DDR2_SPEC**********INTERNAL ONLY" localSheetId="0" hidden="1">{3;4}</definedName>
    <definedName name="_ddr2_sb_537_cl" hidden="1">{3;4}</definedName>
    <definedName name="_ddr2_sb_671_ck" comment="JEDEC_DDR2_SPEC**********INTERNAL ONLY" localSheetId="0" hidden="1">{3;3}</definedName>
    <definedName name="_ddr2_sb_671_ck" hidden="1">{3;3}</definedName>
    <definedName name="_ddr2_sb_671_cl" comment="JEDEC_DDR2_SPEC**********INTERNAL ONLY" localSheetId="0" hidden="1">{4;5}</definedName>
    <definedName name="_ddr2_sb_671_cl" hidden="1">{4;5}</definedName>
    <definedName name="_ddr2_sb_672_ck" comment="JEDEC_DDR2_SPEC**********INTERNAL ONLY" localSheetId="0" hidden="1">{3.75;3}</definedName>
    <definedName name="_ddr2_sb_672_ck" hidden="1">{3.75;3}</definedName>
    <definedName name="_ddr2_sb_672_cl" comment="JEDEC_DDR2_SPEC**********INTERNAL ONLY" localSheetId="0" hidden="1">{4;5}</definedName>
    <definedName name="_ddr2_sb_672_cl" hidden="1">{4;5}</definedName>
    <definedName name="_ddr2_sb_804_ck" comment="JEDEC_DDR2_SPEC**********INTERNAL ONLY" localSheetId="0" hidden="1">{2.5;2.5}</definedName>
    <definedName name="_ddr2_sb_804_ck" hidden="1">{2.5;2.5}</definedName>
    <definedName name="_ddr2_sb_804_cl" comment="JEDEC_DDR2_SPEC**********INTERNAL ONLY" localSheetId="0" hidden="1">{4;5}</definedName>
    <definedName name="_ddr2_sb_804_cl" hidden="1">{4;5}</definedName>
    <definedName name="_ddr2_sb_805_ck" comment="JEDEC_DDR2_SPEC**********INTERNAL ONLY" localSheetId="0" hidden="1">{3.75;2.5}</definedName>
    <definedName name="_ddr2_sb_805_ck" hidden="1">{3.75;2.5}</definedName>
    <definedName name="_ddr2_sb_805_cl" comment="JEDEC_DDR2_SPEC**********INTERNAL ONLY" localSheetId="0" hidden="1">{4;5}</definedName>
    <definedName name="_ddr2_sb_805_cl" hidden="1">{4;5}</definedName>
    <definedName name="_ddr2_sb_806_ck" comment="JEDEC_DDR2_SPEC**********INTERNAL ONLY" localSheetId="0" hidden="1">{3.75;3;2.5}</definedName>
    <definedName name="_ddr2_sb_806_ck" hidden="1">{3.75;3;2.5}</definedName>
    <definedName name="_ddr2_sb_806_cl" comment="JEDEC_DDR2_SPEC**********INTERNAL ONLY" localSheetId="0" hidden="1">{4;5;6}</definedName>
    <definedName name="_ddr2_sb_806_cl" hidden="1">{4;5;6}</definedName>
    <definedName name="_ddr2_sb_data" comment="JEDEC_DDR2_SPEC**********" localSheetId="0" hidden="1">{400;533;667;800}</definedName>
    <definedName name="_ddr2_sb_data" hidden="1">{400;533;667;800}</definedName>
    <definedName name="_ddr2_sb_dqsck_max" comment="JEDEC_DDR2_SPEC**********INTERNAL ONLY" hidden="1">{500;500;450;450;400;400;350;350;350}</definedName>
    <definedName name="_ddr2_sb_faw_1k" comment="JEDEC_DDR2_SPEC**********" localSheetId="0" hidden="1">{37.5;37.5;37.5;37.5;37.5;37.5;35;35;35}</definedName>
    <definedName name="_ddr2_sb_faw_1k" hidden="1">{37.5;37.5;37.5;37.5;37.5;37.5;35;35;35}</definedName>
    <definedName name="_ddr2_sb_faw_2k" comment="JEDEC_DDR2_SPEC**********" localSheetId="0" hidden="1">{50;50;50;50;50;50;45;45;45}</definedName>
    <definedName name="_ddr2_sb_faw_2k" hidden="1">{50;50;50;50;50;50;45;45;45}</definedName>
    <definedName name="_ddr2_sb_lookup" comment="JEDEC_DDR2_SPEC**********" localSheetId="0" hidden="1">{403;404;536;537;671;672;804;805;806}</definedName>
    <definedName name="_ddr2_sb_lookup" hidden="1">{403;404;536;537;671;672;804;805;806}</definedName>
    <definedName name="_ddr2_sb_ras_min" comment="JEDEC_DDR2_SPEC**********INTERNAL ONLY" localSheetId="0" hidden="1">{40;45;45;45;45;45;45;45;45}</definedName>
    <definedName name="_ddr2_sb_ras_min" hidden="1">{40;45;45;45;45;45;45;45;45}</definedName>
    <definedName name="_ddr2_sb_rc" comment="JEDEC_DDR2_SPEC**********INTERNAL ONLY" localSheetId="0" hidden="1">{55;65;56.25;60;57;60;55;57.5;60}</definedName>
    <definedName name="_ddr2_sb_rc" hidden="1">{55;65;56.25;60;57;60;55;57.5;60}</definedName>
    <definedName name="_ddr2_sb_rcd" comment="JEDEC_DDR2_SPEC**********INTERNAL ONLY" localSheetId="0" hidden="1">{15;20;11.25;15;12;15;10;12.5;15}</definedName>
    <definedName name="_ddr2_sb_rcd" hidden="1">{15;20;11.25;15;12;15;10;12.5;15}</definedName>
    <definedName name="_ddr2_sb_rp" comment="JEDEC_DDR2_SPEC**********INTERNAL ONLY" localSheetId="0" hidden="1">{15;20;11.25;15;12;15;10;12.5;15}</definedName>
    <definedName name="_ddr2_sb_rp" hidden="1">{15;20;11.25;15;12;15;10;12.5;15}</definedName>
    <definedName name="_ddr2_sb_wtr" comment="JEDEC_DDR2_SPEC**********INTERNAL ONLY" localSheetId="0" hidden="1">{10;10;7.5;7.5;7.5;7.5;7.5;7.5;7.5}</definedName>
    <definedName name="_ddr2_sb_wtr" hidden="1">{10;10;7.5;7.5;7.5;7.5;7.5;7.5;7.5}</definedName>
    <definedName name="_ddr2_width" comment="**********" hidden="1">{8;16;32}</definedName>
    <definedName name="_ddr3_densities" comment="JEDEC_DDR3_SPEC**********" localSheetId="0" hidden="1">{0.5;1;2;4;8}</definedName>
    <definedName name="_ddr3_densities" hidden="1">{0.5;1;2;4;8}</definedName>
    <definedName name="_ddr3_drive_imp" comment="JEDEC_DDR3_SPEC**********" localSheetId="0" hidden="1">{"RZQ/6";"RZQ/7"}</definedName>
    <definedName name="_ddr3_drive_imp" hidden="1">{"RZQ/6";"RZQ/7"}</definedName>
    <definedName name="_ddr3_lvl" comment="**********" localSheetId="0" hidden="1">{"S/W","H/W"}</definedName>
    <definedName name="_ddr3_lvl" hidden="1">{"S/W","H/W"}</definedName>
    <definedName name="_ddr3_rtt" comment="JEDEC_DDR3_SPEC**********" localSheetId="0" hidden="1">{"Disabled";"RZQ/4";"RZQ/2";"RZQ/6";"RZQ/12";"RZQ/8"}</definedName>
    <definedName name="_ddr3_rtt" hidden="1">{"Disabled";"RZQ/4";"RZQ/2";"RZQ/6";"RZQ/12";"RZQ/8"}</definedName>
    <definedName name="_ddr3_rttwr" comment="JEDEC_DDR3_SPEC**********" localSheetId="0" hidden="1">{"Disabled";"RZQ/4";"RZQ/2"}</definedName>
    <definedName name="_ddr3_rttwr" hidden="1">{"Disabled";"RZQ/4";"RZQ/2"}</definedName>
    <definedName name="_ddr3_sb_1072_ck" comment="JEDEC_DDR3_SPEC**********INTERNAL ONLY" localSheetId="0" hidden="1">{2.5;2.5;1.875;1.875;1.875}</definedName>
    <definedName name="_ddr3_sb_1072_ck" hidden="1">{2.5;2.5;1.875;1.875;1.875}</definedName>
    <definedName name="_ddr3_sb_1072_cl" comment="JEDEC_DDR3_SPEC**********INTERNAL ONLY" localSheetId="0" hidden="1">{5;6;6;7;8}</definedName>
    <definedName name="_ddr3_sb_1072_cl" hidden="1">{5;6;6;7;8}</definedName>
    <definedName name="_ddr3_sb_1072_cwl" comment="JEDEC_DDR3_SPEC**********INTERNAL ONLY" localSheetId="0" hidden="1">{5;5;6;6;6}</definedName>
    <definedName name="_ddr3_sb_1072_cwl" hidden="1">{5;5;6;6;6}</definedName>
    <definedName name="_ddr3_sb_1073_ck" comment="JEDEC_DDR3_SPEC**********INTERNAL ONLY" localSheetId="0" hidden="1">{3;2.5;1.875;1.875}</definedName>
    <definedName name="_ddr3_sb_1073_ck" hidden="1">{3;2.5;1.875;1.875}</definedName>
    <definedName name="_ddr3_sb_1073_cl" comment="JEDEC_DDR3_SPEC**********INTERNAL ONLY" localSheetId="0" hidden="1">{5;6;7;8}</definedName>
    <definedName name="_ddr3_sb_1073_cl" hidden="1">{5;6;7;8}</definedName>
    <definedName name="_ddr3_sb_1073_cwl" comment="JEDEC_DDR3_SPEC**********INTERNAL ONLY" localSheetId="0" hidden="1">{5;5;6;6}</definedName>
    <definedName name="_ddr3_sb_1073_cwl" hidden="1">{5;5;6;6}</definedName>
    <definedName name="_ddr3_sb_1074_ck" comment="JEDEC_DDR3_SPEC**********INTERNAL ONLY" localSheetId="0" hidden="1">{3;2.5;1.875}</definedName>
    <definedName name="_ddr3_sb_1074_ck" hidden="1">{3;2.5;1.875}</definedName>
    <definedName name="_ddr3_sb_1074_cl" comment="JEDEC_DDR3_SPEC**********INTERNAL ONLY" localSheetId="0" hidden="1">{5;6;8}</definedName>
    <definedName name="_ddr3_sb_1074_cl" hidden="1">{5;6;8}</definedName>
    <definedName name="_ddr3_sb_1074_cwl" comment="JEDEC_DDR3_SPEC**********INTERNAL ONLY" localSheetId="0" hidden="1">{5;5;6}</definedName>
    <definedName name="_ddr3_sb_1074_cwl" hidden="1">{5;5;6}</definedName>
    <definedName name="_ddr3_sb_1340_ck" comment="JEDEC_DDR3_SPEC**********INTERNAL ONLY" localSheetId="0" hidden="1">{2.5;2.5;1.875;1.875;1.5;1.875;1.5;1.5;1.5}</definedName>
    <definedName name="_ddr3_sb_1340_ck" hidden="1">{2.5;2.5;1.875;1.875;1.5;1.875;1.5;1.5;1.5}</definedName>
    <definedName name="_ddr3_sb_1340_cl" comment="JEDEC_DDR3_SPEC**********INTERNAL ONLY" localSheetId="0" hidden="1">{5;6;6;7;7;8;8;9;10}</definedName>
    <definedName name="_ddr3_sb_1340_cl" hidden="1">{5;6;6;7;7;8;8;9;10}</definedName>
    <definedName name="_ddr3_sb_1340_cwl" comment="JEDEC_DDR3_SPEC**********INTERNAL ONLY" localSheetId="0" hidden="1">{5;5;6;6;7;6;7;7;7}</definedName>
    <definedName name="_ddr3_sb_1340_cwl" hidden="1">{5;5;6;6;7;6;7;7;7}</definedName>
    <definedName name="_ddr3_sb_1341_ck" comment="JEDEC_DDR3_SPEC**********INTERNAL ONLY" localSheetId="0" hidden="1">{2.5;2.5;1.875;1.875;1.5;1.5;1.5}</definedName>
    <definedName name="_ddr3_sb_1341_ck" hidden="1">{2.5;2.5;1.875;1.875;1.5;1.5;1.5}</definedName>
    <definedName name="_ddr3_sb_1341_cl" comment="JEDEC_DDR3_SPEC**********INTERNAL ONLY" localSheetId="0" hidden="1">{5;6;7;8;8;9;10}</definedName>
    <definedName name="_ddr3_sb_1341_cl" hidden="1">{5;6;7;8;8;9;10}</definedName>
    <definedName name="_ddr3_sb_1341_cwl" comment="JEDEC_DDR3_SPEC**********INTERNAL ONLY" localSheetId="0" hidden="1">{5;5;6;6;7;7;7}</definedName>
    <definedName name="_ddr3_sb_1341_cwl" hidden="1">{5;5;6;6;7;7;7}</definedName>
    <definedName name="_ddr3_sb_1342_ck" comment="JEDEC_DDR3_SPEC**********INTERNAL ONLY" localSheetId="0" hidden="1">{3;2.5;1.875;1.875;1.5;1.5}</definedName>
    <definedName name="_ddr3_sb_1342_ck" hidden="1">{3;2.5;1.875;1.875;1.5;1.5}</definedName>
    <definedName name="_ddr3_sb_1342_cl" comment="JEDEC_DDR3_SPEC**********INTERNAL ONLY" localSheetId="0" hidden="1">{5;6;7;8;9;10}</definedName>
    <definedName name="_ddr3_sb_1342_cl" hidden="1">{5;6;7;8;9;10}</definedName>
    <definedName name="_ddr3_sb_1342_cwl" comment="JEDEC_DDR3_SPEC**********INTERNAL ONLY" localSheetId="0" hidden="1">{5;5;6;6;7;7}</definedName>
    <definedName name="_ddr3_sb_1342_cwl" hidden="1">{5;5;6;6;7;7}</definedName>
    <definedName name="_ddr3_sb_1343_ck" comment="JEDEC_DDR3_SPEC**********INTERNAL ONLY" localSheetId="0" hidden="1">{3;2.5;1.875;1.5}</definedName>
    <definedName name="_ddr3_sb_1343_ck" hidden="1">{3;2.5;1.875;1.5}</definedName>
    <definedName name="_ddr3_sb_1343_cl" comment="JEDEC_DDR3_SPEC**********INTERNAL ONLY" localSheetId="0" hidden="1">{5;6;8;10}</definedName>
    <definedName name="_ddr3_sb_1343_cl" hidden="1">{5;6;8;10}</definedName>
    <definedName name="_ddr3_sb_1343_cwl" comment="JEDEC_DDR3_SPEC**********INTERNAL ONLY" localSheetId="0" hidden="1">{5;5;6;7}</definedName>
    <definedName name="_ddr3_sb_1343_cwl" hidden="1">{5;5;6;7}</definedName>
    <definedName name="_ddr3_sb_1608_ck" comment="JEDEC_DDR3_SPEC**********INTERNAL ONLY" localSheetId="0" hidden="1">{2.5;2.5;1.875;1.875;1.5;1.875;1.5;1.25;1.5;1.25;1.5;1.25;1.25}</definedName>
    <definedName name="_ddr3_sb_1608_ck" hidden="1">{2.5;2.5;1.875;1.875;1.5;1.875;1.5;1.25;1.5;1.25;1.5;1.25;1.25}</definedName>
    <definedName name="_ddr3_sb_1608_cl" comment="JEDEC_DDR3_SPEC**********INTERNAL ONLY" localSheetId="0" hidden="1">{5;6;6;7;7;8;8;8;9;9;10;10;11}</definedName>
    <definedName name="_ddr3_sb_1608_cl" hidden="1">{5;6;6;7;7;8;8;8;9;9;10;10;11}</definedName>
    <definedName name="_ddr3_sb_1608_cwl" comment="JEDEC_DDR3_SPEC**********INTERNAL ONLY" localSheetId="0" hidden="1">{5;5;6;6;7;6;7;8;7;8;7;8;8}</definedName>
    <definedName name="_ddr3_sb_1608_cwl" hidden="1">{5;5;6;6;7;6;7;8;7;8;7;8;8}</definedName>
    <definedName name="_ddr3_sb_1609_ck" comment="JEDEC_DDR3_SPEC**********INTERNAL ONLY" localSheetId="0" hidden="1">{2.5;2.5;1.875;1.875;1.875;1.5;1.5;1.25;1.5;1.25;1.25}</definedName>
    <definedName name="_ddr3_sb_1609_ck" hidden="1">{2.5;2.5;1.875;1.875;1.875;1.5;1.5;1.25;1.5;1.25;1.25}</definedName>
    <definedName name="_ddr3_sb_1609_cl" comment="JEDEC_DDR3_SPEC**********INTERNAL ONLY" localSheetId="0" hidden="1">{5;6;6;7;8;8;9;9;10;10;11}</definedName>
    <definedName name="_ddr3_sb_1609_cl" hidden="1">{5;6;6;7;8;8;9;9;10;10;11}</definedName>
    <definedName name="_ddr3_sb_1609_cwl" comment="JEDEC_DDR3_SPEC**********INTERNAL ONLY" localSheetId="0" hidden="1">{5;5;6;6;6;7;7;8;7;8;8}</definedName>
    <definedName name="_ddr3_sb_1609_cwl" hidden="1">{5;5;6;6;6;7;7;8;7;8;8}</definedName>
    <definedName name="_ddr3_sb_1610_ck" comment="JEDEC_DDR3_SPEC**********INTERNAL ONLY" localSheetId="0" hidden="1">{2.5;2.5;1.875;1.875;1.5;1.5;1.25;1.25}</definedName>
    <definedName name="_ddr3_sb_1610_ck" hidden="1">{2.5;2.5;1.875;1.875;1.5;1.5;1.25;1.25}</definedName>
    <definedName name="_ddr3_sb_1610_cl" comment="JEDEC_DDR3_SPEC**********INTERNAL ONLY" localSheetId="0" hidden="1">{5;6;7;8;9;10;10;11}</definedName>
    <definedName name="_ddr3_sb_1610_cl" hidden="1">{5;6;7;8;9;10;10;11}</definedName>
    <definedName name="_ddr3_sb_1610_cwl" comment="JEDEC_DDR3_SPEC**********INTERNAL ONLY" localSheetId="0" hidden="1">{5;5;6;6;7;7;8;8}</definedName>
    <definedName name="_ddr3_sb_1610_cwl" hidden="1">{5;5;6;6;7;7;8;8}</definedName>
    <definedName name="_ddr3_sb_1611_ck" comment="JEDEC_DDR3_SPEC**********INTERNAL ONLY" localSheetId="0" hidden="1">{3;2.5;1.875;1.875;1.5;1.5;1.25}</definedName>
    <definedName name="_ddr3_sb_1611_ck" hidden="1">{3;2.5;1.875;1.875;1.5;1.5;1.25}</definedName>
    <definedName name="_ddr3_sb_1611_cl" comment="JEDEC_DDR3_SPEC**********INTERNAL ONLY" localSheetId="0" hidden="1">{5;6;7;8;9;10;11}</definedName>
    <definedName name="_ddr3_sb_1611_cl" hidden="1">{5;6;7;8;9;10;11}</definedName>
    <definedName name="_ddr3_sb_1611_cwl" comment="JEDEC_DDR3_SPEC**********INTERNAL ONLY" localSheetId="0" hidden="1">{5;5;6;6;7;7;8}</definedName>
    <definedName name="_ddr3_sb_1611_cwl" hidden="1">{5;5;6;6;7;7;8}</definedName>
    <definedName name="_ddr3_sb_1876_ck" comment="JEDEC_DDR3_SPEC**********INTERNAL ONLY" localSheetId="0" hidden="1">{1.25}</definedName>
    <definedName name="_ddr3_sb_1876_ck" hidden="1">{1.25}</definedName>
    <definedName name="_ddr3_sb_1876_cl" comment="JEDEC_DDR3_SPEC**********INTERNAL ONLY" localSheetId="0" hidden="1">{1}</definedName>
    <definedName name="_ddr3_sb_1876_cl" hidden="1">{1}</definedName>
    <definedName name="_ddr3_sb_1876_cwl" comment="JEDEC_DDR3_SPEC**********INTERNAL ONLY" localSheetId="0" hidden="1">{1}</definedName>
    <definedName name="_ddr3_sb_1876_cwl" hidden="1">{1}</definedName>
    <definedName name="_ddr3_sb_1877_ck" comment="JEDEC_DDR3_SPEC**********INTERNAL ONLY" localSheetId="0" hidden="1">{1.25}</definedName>
    <definedName name="_ddr3_sb_1877_ck" hidden="1">{1.25}</definedName>
    <definedName name="_ddr3_sb_1877_cl" comment="JEDEC_DDR3_SPEC**********INTERNAL ONLY" localSheetId="0" hidden="1">{1}</definedName>
    <definedName name="_ddr3_sb_1877_cl" hidden="1">{1}</definedName>
    <definedName name="_ddr3_sb_1877_cwl" comment="JEDEC_DDR3_SPEC**********INTERNAL ONLY" localSheetId="0" hidden="1">{1}</definedName>
    <definedName name="_ddr3_sb_1877_cwl" hidden="1">{1}</definedName>
    <definedName name="_ddr3_sb_1878_ck" comment="JEDEC_DDR3_SPEC**********INTERNAL ONLY" localSheetId="0" hidden="1">{1.25}</definedName>
    <definedName name="_ddr3_sb_1878_ck" hidden="1">{1.25}</definedName>
    <definedName name="_ddr3_sb_1878_cl" comment="JEDEC_DDR3_SPEC**********INTERNAL ONLY" localSheetId="0" hidden="1">{1}</definedName>
    <definedName name="_ddr3_sb_1878_cl" hidden="1">{1}</definedName>
    <definedName name="_ddr3_sb_1878_cwl" comment="JEDEC_DDR3_SPEC**********INTERNAL ONLY" localSheetId="0" hidden="1">{1}</definedName>
    <definedName name="_ddr3_sb_1878_cwl" hidden="1">{1}</definedName>
    <definedName name="_ddr3_sb_1879_ck" comment="JEDEC_DDR3_SPEC**********INTERNAL ONLY" localSheetId="0" hidden="1">{1.25}</definedName>
    <definedName name="_ddr3_sb_1879_ck" hidden="1">{1.25}</definedName>
    <definedName name="_ddr3_sb_1879_cl" comment="JEDEC_DDR3_SPEC**********INTERNAL ONLY" localSheetId="0" hidden="1">{1}</definedName>
    <definedName name="_ddr3_sb_1879_cl" hidden="1">{1}</definedName>
    <definedName name="_ddr3_sb_1879_cwl" comment="JEDEC_DDR3_SPEC**********INTERNAL ONLY" localSheetId="0" hidden="1">{1}</definedName>
    <definedName name="_ddr3_sb_1879_cwl" hidden="1">{1}</definedName>
    <definedName name="_ddr3_sb_2144_ck" comment="JEDEC_DDR3_SPEC**********INTERNAL ONLY" localSheetId="0" hidden="1">{1.25}</definedName>
    <definedName name="_ddr3_sb_2144_ck" hidden="1">{1.25}</definedName>
    <definedName name="_ddr3_sb_2144_cl" comment="JEDEC_DDR3_SPEC**********INTERNAL ONLY" localSheetId="0" hidden="1">{1}</definedName>
    <definedName name="_ddr3_sb_2144_cl" hidden="1">{1}</definedName>
    <definedName name="_ddr3_sb_2144_cwl" comment="JEDEC_DDR3_SPEC**********INTERNAL ONLY" localSheetId="0" hidden="1">{1}</definedName>
    <definedName name="_ddr3_sb_2144_cwl" hidden="1">{1}</definedName>
    <definedName name="_ddr3_sb_2145_ck" comment="JEDEC_DDR3_SPEC**********INTERNAL ONLY" localSheetId="0" hidden="1">{1.25}</definedName>
    <definedName name="_ddr3_sb_2145_ck" hidden="1">{1.25}</definedName>
    <definedName name="_ddr3_sb_2145_cl" comment="JEDEC_DDR3_SPEC**********INTERNAL ONLY" localSheetId="0" hidden="1">{1}</definedName>
    <definedName name="_ddr3_sb_2145_cl" hidden="1">{1}</definedName>
    <definedName name="_ddr3_sb_2145_cwl" comment="JEDEC_DDR3_SPEC**********INTERNAL ONLY" localSheetId="0" hidden="1">{1}</definedName>
    <definedName name="_ddr3_sb_2145_cwl" hidden="1">{1}</definedName>
    <definedName name="_ddr3_sb_2146_ck" comment="JEDEC_DDR3_SPEC**********INTERNAL ONLY" localSheetId="0" hidden="1">{1.25}</definedName>
    <definedName name="_ddr3_sb_2146_ck" hidden="1">{1.25}</definedName>
    <definedName name="_ddr3_sb_2146_cl" comment="JEDEC_DDR3_SPEC**********INTERNAL ONLY" localSheetId="0" hidden="1">{1}</definedName>
    <definedName name="_ddr3_sb_2146_cl" hidden="1">{1}</definedName>
    <definedName name="_ddr3_sb_2146_cwl" comment="JEDEC_DDR3_SPEC**********INTERNAL ONLY" localSheetId="0" hidden="1">{1}</definedName>
    <definedName name="_ddr3_sb_2146_cwl" hidden="1">{1}</definedName>
    <definedName name="_ddr3_sb_2147_ck" comment="JEDEC_DDR3_SPEC**********INTERNAL ONLY" localSheetId="0" hidden="1">{1.25}</definedName>
    <definedName name="_ddr3_sb_2147_ck" hidden="1">{1.25}</definedName>
    <definedName name="_ddr3_sb_2147_cl" comment="JEDEC_DDR3_SPEC**********INTERNAL ONLY" localSheetId="0" hidden="1">{1}</definedName>
    <definedName name="_ddr3_sb_2147_cl" hidden="1">{1}</definedName>
    <definedName name="_ddr3_sb_2147_cwl" comment="JEDEC_DDR3_SPEC**********INTERNAL ONLY" localSheetId="0" hidden="1">{1}</definedName>
    <definedName name="_ddr3_sb_2147_cwl" hidden="1">{1}</definedName>
    <definedName name="_ddr3_sb_805_ck" comment="JEDEC_DDR3_SPEC**********INTERNAL ONLY" localSheetId="0" hidden="1">{2.5;2.5}</definedName>
    <definedName name="_ddr3_sb_805_ck" hidden="1">{2.5;2.5}</definedName>
    <definedName name="_ddr3_sb_805_cl" comment="JEDEC_DDR3_SPEC**********INTERNAL ONLY" localSheetId="0" hidden="1">{5;6}</definedName>
    <definedName name="_ddr3_sb_805_cl" hidden="1">{5;6}</definedName>
    <definedName name="_ddr3_sb_805_cwl" comment="JEDEC_DDR3_SPEC**********INTERNAL ONLY" localSheetId="0" hidden="1">{5;5}</definedName>
    <definedName name="_ddr3_sb_805_cwl" hidden="1">{5;5}</definedName>
    <definedName name="_ddr3_sb_806_ck" comment="JEDEC_DDR3_SPEC**********INTERNAL ONLY" localSheetId="0" hidden="1">{3;2.5}</definedName>
    <definedName name="_ddr3_sb_806_ck" hidden="1">{3;2.5}</definedName>
    <definedName name="_ddr3_sb_806_cl" comment="JEDEC_DDR3_SPEC**********INTERNAL ONLY" localSheetId="0" hidden="1">{5;6}</definedName>
    <definedName name="_ddr3_sb_806_cl" hidden="1">{5;6}</definedName>
    <definedName name="_ddr3_sb_806_cwl" comment="JEDEC_DDR3_SPEC**********INTERNAL ONLY" localSheetId="0" hidden="1">{5;5}</definedName>
    <definedName name="_ddr3_sb_806_cwl" hidden="1">{5;5}</definedName>
    <definedName name="_ddr3_sb_cke" comment="JEDEC_DDR3_SPEC**********INTERNAL ONLY" localSheetId="0" hidden="1">{7.5;7.5;5.625;5.625;5.625;5.625;5.625;5.625;5.625;5;5;5;5;5;5;5;5;5;5;5;5}</definedName>
    <definedName name="_ddr3_sb_cke" hidden="1">{7.5;7.5;5.625;5.625;5.625;5.625;5.625;5.625;5.625;5;5;5;5;5;5;5;5;5;5;5;5}</definedName>
    <definedName name="_ddr3_sb_data" comment="JEDEC_DDR3_SPEC**********INTERNAL ONLY" localSheetId="0" hidden="1">{800;1066;1333;1600;1866;2133}</definedName>
    <definedName name="_ddr3_sb_data" hidden="1">{800;1066;1333;1600;1866;2133}</definedName>
    <definedName name="_ddr3_sb_dqsck_max" comment="JEDEC_DDR3_SPEC**********INTERNAL ONLY" hidden="1">{400;400;300;300;300;255;255;255;255;255;255;255;255;195;195;195;195;180;180;180;180}</definedName>
    <definedName name="_ddr3_sb_faw_1k" comment="JEDEC_DDR3_SPEC**********" localSheetId="0" hidden="1">{40;40;37.5;37.5;37.5;30;30;30;30;30;30;30;30;27;27;27;27;25;25;25;25}</definedName>
    <definedName name="_ddr3_sb_faw_1k" hidden="1">{40;40;37.5;37.5;37.5;30;30;30;30;30;30;30;30;27;27;27;27;25;25;25;25}</definedName>
    <definedName name="_ddr3_sb_faw_2k" comment="JEDEC_DDR3_SPEC**********" localSheetId="0" hidden="1">{50;50;50;50;50;45;45;45;45;40;40;40;40;35;35;35;35;35;35;35;35}</definedName>
    <definedName name="_ddr3_sb_faw_2k" hidden="1">{50;50;50;50;50;45;45;45;45;40;40;40;40;35;35;35;35;35;35;35;35}</definedName>
    <definedName name="_ddr3_sb_lookup" comment="JEDEC_DDR3_SPEC**********INTERNAL ONLY" localSheetId="0" hidden="1">{805;806;1072;1073;1074;1340;1341;1342;1343;1608;1609;1610;1611;1876;1877;1878;1879;2144;2145;2146;2147}</definedName>
    <definedName name="_ddr3_sb_lookup" hidden="1">{805;806;1072;1073;1074;1340;1341;1342;1343;1608;1609;1610;1611;1876;1877;1878;1879;2144;2145;2146;2147}</definedName>
    <definedName name="_ddr3_sb_ras_min" comment="JEDEC_DDR3_SPEC**********INTERNAL ONLY" localSheetId="0" hidden="1">{37.5;37.5;37.5;37.5;37.5;36;36;36;36;35;35;35;35;34;34;34;34;33;33;33;33}</definedName>
    <definedName name="_ddr3_sb_ras_min" hidden="1">{37.5;37.5;37.5;37.5;37.5;36;36;36;36;35;35;35;35;34;34;34;34;33;33;33;33}</definedName>
    <definedName name="_ddr3_sb_rc" comment="JEDEC_DDR3_SPEC**********INTERNAL ONLY" localSheetId="0" hidden="1">{50;52.5;48.75;50.625;52.5;46.5;48;49.5;51;45;46.25;47.5;48.75;44.7;45.77;46.84;47.91;43.285;44.22;45.155;46.09}</definedName>
    <definedName name="_ddr3_sb_rc" hidden="1">{50;52.5;48.75;50.625;52.5;46.5;48;49.5;51;45;46.25;47.5;48.75;44.7;45.77;46.84;47.91;43.285;44.22;45.155;46.09}</definedName>
    <definedName name="_ddr3_sb_rcd" comment="JEDEC_DDR3_SPEC**********INTERNAL ONLY" localSheetId="0" hidden="1">{12.5;15;11.25;13.125;15;10.5;12;13.5;15;10;11.25;12.5;13.75;10.7;11.77;12.84;13.91;10.285;11.22;12.155;13.09}</definedName>
    <definedName name="_ddr3_sb_rcd" hidden="1">{12.5;15;11.25;13.125;15;10.5;12;13.5;15;10;11.25;12.5;13.75;10.7;11.77;12.84;13.91;10.285;11.22;12.155;13.09}</definedName>
    <definedName name="_ddr3_sb_rp" comment="JEDEC_DDR3_SPEC**********INTERNAL ONLY" localSheetId="0" hidden="1">{12.5;15;11.25;13.125;15;10.5;12;13.5;15;10;11.25;12.5;13.75;10.7;11.77;12.84;13.91;10.285;11.22;12.155;13.09}</definedName>
    <definedName name="_ddr3_sb_rp" hidden="1">{12.5;15;11.25;13.125;15;10.5;12;13.5;15;10;11.25;12.5;13.75;10.7;11.77;12.84;13.91;10.285;11.22;12.155;13.09}</definedName>
    <definedName name="_ddr3_sb_rrd_1k" comment="JEDEC_DDR3_SPEC**********INTERNAL ONLY" localSheetId="0" hidden="1">{10;10;7.5;7.5;7.5;6;6;6;6;6;6;6;6;5;5;5;5;5;5;5;5}</definedName>
    <definedName name="_ddr3_sb_rrd_1k" hidden="1">{10;10;7.5;7.5;7.5;6;6;6;6;6;6;6;6;5;5;5;5;5;5;5;5}</definedName>
    <definedName name="_ddr3_sb_rrd_2k" comment="JEDEC_DDR3_SPEC**********INTERNAL ONLY" localSheetId="0" hidden="1">{10;10;10;10;10;7.5;7.5;7.5;7.5;7.5;7.5;7.5;7.5;6;6;6;6;6;6;6;6}</definedName>
    <definedName name="_ddr3_sb_rrd_2k" hidden="1">{10;10;10;10;10;7.5;7.5;7.5;7.5;7.5;7.5;7.5;7.5;6;6;6;6;6;6;6;6}</definedName>
    <definedName name="_ddr3_sb_xp" comment="JEDEC_DDR3_SPEC**********INTERNAL ONLY" localSheetId="0" hidden="1">{7.5;7.5;7.5;7.5;7.5;6;6;6;6;6;6;6;6;6;6;6;6;6;6;6;6}</definedName>
    <definedName name="_ddr3_sb_xp" hidden="1">{7.5;7.5;7.5;7.5;7.5;6;6;6;6;6;6;6;6;6;6;6;6;6;6;6;6}</definedName>
    <definedName name="_ddr3_width" comment="**********" hidden="1">{8;16}</definedName>
    <definedName name="_dll_res" comment="**********" hidden="1">IF(_phy_half_delay=1,1000000/_ddr_pll_freq/128,1000000/_ddr_pll_freq/256)</definedName>
    <definedName name="_DMM_LISA_MAP_0_VAL" comment="Register*****OFFSET: _0x00000040*****" hidden="1">DEC2HEX(SUM(_dmm_sys_addr_0*2^24,_dmm_sys_size_0*2^20,_dmm_sdrc_intl_0*2^18,_dmm_sdrc_map_0*2^8),8)</definedName>
    <definedName name="_DMM_LISA_MAP_1_VAL" comment="Register*****OFFSET: _0x00000044*****" hidden="1">DEC2HEX(SUM(_dmm_sys_addr_1*2^24,_dmm_sys_size_1*2^20,_dmm_sdrc_intl_1*2^18,_dmm_sdrc_map_1*2^8),8)</definedName>
    <definedName name="_DMM_LISA_MAP_2_VAL" comment="Register*****OFFSET: _0x00000048*****" hidden="1">DEC2HEX(SUM(_dmm_sys_addr_2*2^24,_dmm_sys_size_2*2^20,_dmm_sdrc_intl_2*2^18,_dmm_sdrc_map_2*2^8),8)</definedName>
    <definedName name="_DMM_LISA_MAP_3_VAL" comment="Register*****OFFSET: _0x0000004C*****" hidden="1">DEC2HEX(SUM(_dmm_sys_addr_3*2^24,_dmm_sys_size_3*2^20,_dmm_sdrc_intl_3*2^18,_dmm_sdrc_addrspc_3*2^16,_dmm_sdrc_map_3*2^8),8)</definedName>
    <definedName name="_dmm_sdrc_addrspc_3" comment="Bit_Field_DMM_LISA_MAP_3_VAL*****DMM_LISA_MAP_3[17:16]*****Set to match U-boot" hidden="1">2</definedName>
    <definedName name="_dmm_sdrc_intl_0" comment="Bit_Field_DMM_LISA_MAP_0_VAL*****DMM_LISA_MAP_0[19:18]*****" hidden="1">0</definedName>
    <definedName name="_dmm_sdrc_intl_1" comment="Bit_Field_DMM_LISA_MAP_1_VAL*****DMM_LISA_MAP_1[19:18]*****" hidden="1">0</definedName>
    <definedName name="_dmm_sdrc_intl_2" comment="Bit_Field_DMM_LISA_MAP_2_VAL*****DMM_LISA_MAP_2[19:18]*****Interleave by 128-byte" hidden="1">IF(_user_emifs=1,0,1)</definedName>
    <definedName name="_dmm_sdrc_intl_3" comment="Bit_Field_DMM_LISA_MAP_3_VAL*****DMM_LISA_MAP_3[19:18]*****Set to match U-boot" hidden="1">0</definedName>
    <definedName name="_dmm_sdrc_map_0" comment="Bit_Field_DMM_LISA_MAP_0_VAL*****DMM_LISA_MAP_0[09:08]*****" hidden="1">0</definedName>
    <definedName name="_dmm_sdrc_map_1" comment="Bit_Field_DMM_LISA_MAP_1_VAL*****DMM_LISA_MAP_1[09:08]*****Old equation: IF(_user_emifs=1,0,2)" hidden="1">0</definedName>
    <definedName name="_dmm_sdrc_map_2" comment="Bit_Field_DMM_LISA_MAP_2_VAL*****DMM_LISA_MAP_2[09:08]*****Interleave by default" hidden="1">IF(_user_emifs=1,1,3)</definedName>
    <definedName name="_dmm_sdrc_map_3" comment="Bit_Field_DMM_LISA_MAP_3_VAL*****DMM_LISA_MAP_3[09:08]*****Set to match U-boot" hidden="1">1</definedName>
    <definedName name="_dmm_sys_addr_0" comment="Bit_Field_DMM_LISA_MAP_0_VAL*****DMM_LISA_MAP_0[31:24]*****" hidden="1">0</definedName>
    <definedName name="_dmm_sys_addr_1" comment="Bit_Field_DMM_LISA_MAP_1_VAL*****DMM_LISA_MAP_1[31:24]*****Old equation: IF(_user_emifs=1,0,(2^_sdram_density_mult*_sdram_bw/_sdram_width/8/16777216)+128)" hidden="1">0</definedName>
    <definedName name="_dmm_sys_addr_2" comment="Bit_Field_DMM_LISA_MAP_2_VAL*****DMM_LISA_MAP_2[31:24]*****Set to base 0x80000000" hidden="1">128</definedName>
    <definedName name="_dmm_sys_addr_3" comment="Bit_Field_DMM_LISA_MAP_3_VAL*****DMM_LISA_MAP_3[31:24]*****Set to match U-boot" hidden="1">255</definedName>
    <definedName name="_dmm_sys_size_0" comment="Bit_Field_DMM_LISA_MAP_0_VAL*****DMM_LISA_MAP_0[22:20]*****" hidden="1">0</definedName>
    <definedName name="_dmm_sys_size_1" comment="Bit_Field_DMM_LISA_MAP_1_VAL*****DMM_LISA_MAP_1[22:20]*****Old equation: IF(_user_emifs=1,0,MATCH(MIN(_sdram_density*_sdram_bw/_sdram_width/8,2),_dmm_sys_size_list,0)-1)" hidden="1">0</definedName>
    <definedName name="_dmm_sys_size_2" comment="Bit_Field_DMM_LISA_MAP_2_VAL*****DMM_LISA_MAP_2[22:20]*****Set to 2x if two EMIFs used" hidden="1">IF(_user_emifs=1,MATCH(MIN(_sdram_density*_sdram_bw/_sdram_width/8,2),_dmm_sys_size_list,0)-1,MATCH(MIN(2*_sdram_density*_sdram_bw/_sdram_width/8,2),_dmm_sys_size_list,0)-1)</definedName>
    <definedName name="_dmm_sys_size_3" comment="Bit_Field_DMM_LISA_MAP_3_VAL*****DMM_LISA_MAP_3[22:20]*****Set to match U-boot" hidden="1">0</definedName>
    <definedName name="_dmm_sys_size_list" comment="Bit_Field_DMM_LISA_MAPx**********" hidden="1">{0.015625;0.03125;0.0625;0.125;0.25;0.5;1;2}</definedName>
    <definedName name="_dyn_user_config_options" hidden="1">[1]UserConfig!$A$1:INDEX([1]UserConfig!$A$1:$A$100,COUNTIF([1]UserConfig!$A$1:$A$100,"?*"))</definedName>
    <definedName name="_dyn_user_cs" hidden="1">[1]DynamicUserOptions!$E$6:INDEX([1]DynamicUserOptions!$E$6:$E$19,COUNTIF([1]DynamicUserOptions!$E$6:$E$19,"&lt;&gt;"&amp;"*"))</definedName>
    <definedName name="_dyn_user_cs_list" comment="XCEL_LIST_CREATION**********" localSheetId="0" hidden="1">IF('Title-README'!_soc_name="j6eco",'Title-README'!_soc_cs_j6eco,'Title-README'!_soc_cs_vayu)</definedName>
    <definedName name="_dyn_user_cs_list" hidden="1">IF(_soc_name="j6eco",_soc_cs_j6eco,_soc_cs_vayu)</definedName>
    <definedName name="_dyn_user_ecc" hidden="1">[1]DynamicUserOptions!$G$6:INDEX([1]DynamicUserOptions!$G$6:$G$19,COUNTIF([1]DynamicUserOptions!$G$6:$G$19,"?*"))</definedName>
    <definedName name="_dyn_user_ecc_list" comment="**********" localSheetId="0" hidden="1">IF(_sdram_type="LPDDR2",'Title-README'!_lpddr2_ecc,'Title-README'!_ddr2_ddr3_ecc)</definedName>
    <definedName name="_dyn_user_ecc_list" hidden="1">IF(_sdram_type="LPDDR2",_lpddr2_ecc,_ddr2_ddr3_ecc)</definedName>
    <definedName name="_dyn_user_emif_io_sr" hidden="1">[1]DynamicUserOptions!$Q$6:INDEX([1]DynamicUserOptions!$Q$6:$Q$19,COUNTIF([1]DynamicUserOptions!$Q$6:$Q$19,"?*"))</definedName>
    <definedName name="_dyn_user_emifs" comment="XCEL_LIST_CREATION**********" hidden="1">[1]DynamicUserOptions!$D$6:INDEX([1]DynamicUserOptions!$D$6:$D$19,COUNTIF([1]DynamicUserOptions!$D$6:$D$19,"&lt;&gt;"&amp;"*"))</definedName>
    <definedName name="_dyn_user_emifs_list" comment="XCEL_LIST_CREATION**********" localSheetId="7" hidden="1">#N/A</definedName>
    <definedName name="_dyn_user_emifs_list" comment="XCEL_LIST_CREATION**********" localSheetId="9" hidden="1">#N/A</definedName>
    <definedName name="_dyn_user_emifs_list" comment="XCEL_LIST_CREATION**********" localSheetId="5" hidden="1">#N/A</definedName>
    <definedName name="_dyn_user_emifs_list" comment="XCEL_LIST_CREATION**********" hidden="1">IF(OR('Title-README'!_soc_name="j6eco",'Title-README'!_soc_name="adaslow"),_soc_emifs_j6eco,_soc_emifs_vayu)</definedName>
    <definedName name="_dyn_user_freqmax" hidden="1">[1]DynamicUserOptions!$I$6</definedName>
    <definedName name="_dyn_user_freqmax_list" comment="XCEL_LIST_CREATION**********" localSheetId="7" hidden="1">#N/A</definedName>
    <definedName name="_dyn_user_freqmax_list" comment="XCEL_LIST_CREATION**********" localSheetId="9" hidden="1">#N/A</definedName>
    <definedName name="_dyn_user_freqmax_list" comment="XCEL_LIST_CREATION**********" localSheetId="5" hidden="1">#N/A</definedName>
    <definedName name="_dyn_user_freqmax_list" comment="XCEL_LIST_CREATION**********" hidden="1">IF('Title-README'!_soc_name="adaslow",_soc_freqmax_adaslow,IF('Title-README'!_soc_name="j6eco",_soc_freqmax_j6eco,_soc_freqmax_vayu))</definedName>
    <definedName name="_dyn_user_freqmin" hidden="1">[1]DynamicUserOptions!$H$6</definedName>
    <definedName name="_dyn_user_freqmin_list" comment="XCEL_LIST_CREATION**********" localSheetId="7" hidden="1">#N/A</definedName>
    <definedName name="_dyn_user_freqmin_list" comment="XCEL_LIST_CREATION**********" localSheetId="9" hidden="1">#N/A</definedName>
    <definedName name="_dyn_user_freqmin_list" comment="XCEL_LIST_CREATION**********" localSheetId="5" hidden="1">#N/A</definedName>
    <definedName name="_dyn_user_freqmin_list" comment="XCEL_LIST_CREATION**********" hidden="1">IF('Title-README'!_soc_name="adaslow",_soc_freqmin_adaslow,IF('Title-README'!_soc_name="j6eco",_soc_freqmin_j6eco,_soc_freqmin_vayu))</definedName>
    <definedName name="_dyn_user_memtype" hidden="1">[1]DynamicUserOptions!$C$6:INDEX([1]DynamicUserOptions!$C$6:$C$19,COUNTIF([1]DynamicUserOptions!$C$6:$C$19,"?*"))</definedName>
    <definedName name="_dyn_user_memtype_list" comment="XCEL_LIST_CREATION**********" localSheetId="0" hidden="1">CHOOSE(MATCH('Title-README'!_soc_name,'Title-README'!_soc_names,0),'Title-README'!_soc_memtype_vayu,'Title-README'!_soc_memtype_vayu,'Title-README'!_soc_memtype_j6eco,'Title-README'!_soc_memtype_adaslow)</definedName>
    <definedName name="_dyn_user_memtype_list" hidden="1">CHOOSE(MATCH(_soc_name,_soc_names,0),_soc_memtype_vayu,_soc_memtype_vayu,_soc_memtype_j6eco,_soc_memtype_adaslow)</definedName>
    <definedName name="_dyn_user_sdram_cl" hidden="1">[1]DynamicUserOptions!$L$6:INDEX([1]DynamicUserOptions!$L$6:$L$19,COUNTIF([1]DynamicUserOptions!$L$6:$L$19,"&lt;&gt;"&amp;"*")+COUNTIF([1]DynamicUserOptions!$L$6:$L$19,"?*"))</definedName>
    <definedName name="_dyn_user_sdram_data" hidden="1">[1]DynamicUserOptions!$J$6:INDEX([1]DynamicUserOptions!$J$6:$J$19,COUNTIF([1]DynamicUserOptions!$J$6:$J$19,"&lt;&gt;"&amp;"*"))</definedName>
    <definedName name="_dyn_user_sdram_data_list" comment="XCEL_LIST_CREATION**********" localSheetId="0" hidden="1">IF(_sdram_type="LPDDR2",'Title-README'!_lpddr2_sb_data,IF(_sdram_type="DDR2",'Title-README'!_ddr2_sb_data,'Title-README'!_ddr3_sb_data))</definedName>
    <definedName name="_dyn_user_sdram_data_list" hidden="1">IF(_sdram_type="LPDDR2",_lpddr2_sb_data,IF(_sdram_type="DDR2",_ddr2_sb_data,_ddr3_sb_data))</definedName>
    <definedName name="_dyn_user_sdram_density" hidden="1">[1]DynamicUserOptions!$M$6:INDEX([1]DynamicUserOptions!$M$6:$M$19,COUNTIF([1]DynamicUserOptions!$M$6:$M$19,"&lt;&gt;"&amp;"*"))</definedName>
    <definedName name="_dyn_user_sdram_density_list" comment="XCEL_LIST_CREATION**********" localSheetId="0" hidden="1">IF(_sdram_type="LPDDR2",'Title-README'!_lpddr2_densities,IF(_sdram_type="DDR2",'Title-README'!_ddr2_densities,'Title-README'!_ddr3_densities))</definedName>
    <definedName name="_dyn_user_sdram_density_list" hidden="1">IF(_sdram_type="LPDDR2",_lpddr2_densities,IF(_sdram_type="DDR2",_ddr2_densities,_ddr3_densities))</definedName>
    <definedName name="_dyn_user_sdram_drivimp" hidden="1">[1]DynamicUserOptions!$P$6:INDEX([1]DynamicUserOptions!$P$6:$P$19,COUNTIF([1]DynamicUserOptions!$P$6:$P$19,"?*")+COUNTIF([1]DynamicUserOptions!$P$6:$P$19,"&lt;&gt;"&amp;"*"))</definedName>
    <definedName name="_dyn_user_sdram_drivimp_list" comment="XCEL_LIST_CREATION**********" localSheetId="0" hidden="1">IF(_sdram_type="LPDDR2",'Title-README'!_lpddr2_drive_imp,IF(_sdram_type="DDR2",'Title-README'!_ddr2_drive_imp,'Title-README'!_ddr3_drive_imp))</definedName>
    <definedName name="_dyn_user_sdram_drivimp_list" hidden="1">IF(_sdram_type="LPDDR2",_lpddr2_drive_imp,IF(_sdram_type="DDR2",_ddr2_drive_imp,_ddr3_drive_imp))</definedName>
    <definedName name="_dyn_user_sdram_lvl" hidden="1">[1]DynamicUserOptions!$F$6:INDEX([1]DynamicUserOptions!$F$6:$F$19,COUNTIF([1]DynamicUserOptions!$F$6:$F$19,"?*"))</definedName>
    <definedName name="_dyn_user_sdram_lvl_list" comment="**********" localSheetId="0" hidden="1">IF(OR(_sdram_type="DDR2",_sdram_type="LPDDR2"),'Title-README'!_ddr2_lvl,'Title-README'!_ddr3_lvl)</definedName>
    <definedName name="_dyn_user_sdram_lvl_list" hidden="1">IF(OR(_sdram_type="DDR2",_sdram_type="LPDDR2"),_ddr2_lvl,_ddr3_lvl)</definedName>
    <definedName name="_dyn_user_sdram_rtt" hidden="1">[1]DynamicUserOptions!$N$6:INDEX([1]DynamicUserOptions!$N$6:$N$19,COUNTIF([1]DynamicUserOptions!$N$6:$N$19,"?*"))</definedName>
    <definedName name="_dyn_user_sdram_rtt_list" comment="XCEL_LIST_CREATION**********" localSheetId="0" hidden="1">IF(_sdram_type="LPDDR2",'Title-README'!_lpddr2_rtt,IF(_sdram_type="DDR2",'Title-README'!_ddr2_rtt,'Title-README'!_ddr3_rtt))</definedName>
    <definedName name="_dyn_user_sdram_rtt_list" hidden="1">IF(_sdram_type="LPDDR2",_lpddr2_rtt,IF(_sdram_type="DDR2",_ddr2_rtt,_ddr3_rtt))</definedName>
    <definedName name="_dyn_user_sdram_rttwr" hidden="1">[1]DynamicUserOptions!$O$6:INDEX([1]DynamicUserOptions!$O$6:$O$19,COUNTIF([1]DynamicUserOptions!$O$6:$O$19,"?*"))</definedName>
    <definedName name="_dyn_user_sdram_rttwr_list" comment="XCEL_LIST_CREATION**********" localSheetId="0" hidden="1">IF(_sdram_type="LPDDR2",'Title-README'!_lpddr2_rttwr,IF(_sdram_type="DDR2",'Title-README'!_ddr2_rttwr,'Title-README'!_ddr3_rttwr))</definedName>
    <definedName name="_dyn_user_sdram_rttwr_list" hidden="1">IF(_sdram_type="LPDDR2",_lpddr2_rttwr,IF(_sdram_type="DDR2",_ddr2_rttwr,_ddr3_rttwr))</definedName>
    <definedName name="_dyn_user_sdram_width" hidden="1">[1]DynamicUserOptions!$K$6:INDEX([1]DynamicUserOptions!$K$6:$K$19,COUNTIF([1]DynamicUserOptions!$K$6:$K$19,"&lt;&gt;"&amp;"*"))</definedName>
    <definedName name="_dyn_user_sdram_width_list" comment="XCEL_LIST_CREATION**********" localSheetId="7" hidden="1">#N/A</definedName>
    <definedName name="_dyn_user_sdram_width_list" comment="XCEL_LIST_CREATION**********" localSheetId="9" hidden="1">#N/A</definedName>
    <definedName name="_dyn_user_sdram_width_list" comment="XCEL_LIST_CREATION**********" localSheetId="5" hidden="1">#N/A</definedName>
    <definedName name="_dyn_user_sdram_width_list" comment="XCEL_LIST_CREATION**********" hidden="1">IF(_sdram_type="LPDDR2",32,IF(AND('Title-README'!_soc_name="adaslow",_sdram_type="DDR2",_sdram_density=0.5),_ddr2_width,_ddr3_width))</definedName>
    <definedName name="_dyn_user_soc_list" comment="XCEL_LIST_CREATION**********" hidden="1">[1]DynamicUserOptions!$B$6:INDEX([1]DynamicUserOptions!$B$6:$B$19,COUNTIF([1]DynamicUserOptions!$B$6:$B$19,"?*"))</definedName>
    <definedName name="_EMIF_DDR_PHY_CTRL_1_VAL" comment="Register*****OFFSET: 0x000000E4*****" localSheetId="7" hidden="1">DEC2HEX(SUM(GEL!_phy_rdlvl_mask*2^27,[0]!_phy_rdlvlgate_mask*2^26,[0]!_phy_wrlvl_mask*2^25,[0]!_phy_half_delay*2^21,[0]!_phy_clk_stall_level*2^20,[0]!_phy_dis_calib_rst*2^19,[0]!_phy_invert_clk*2^18,[0]!_phy_dll_lock_diff*2^10,[0]!_phy_fast_dll_lock*2^9,GEL!_phy_rd_rl_delay),8)</definedName>
    <definedName name="_EMIF_DDR_PHY_CTRL_1_VAL" comment="Register*****OFFSET: 0x000000E4*****" localSheetId="9" hidden="1">DEC2HEX(SUM(RTOS!_phy_rdlvl_mask*2^27,[0]!_phy_rdlvlgate_mask*2^26,[0]!_phy_wrlvl_mask*2^25,[0]!_phy_half_delay*2^21,[0]!_phy_clk_stall_level*2^20,[0]!_phy_dis_calib_rst*2^19,[0]!_phy_invert_clk*2^18,[0]!_phy_dll_lock_diff*2^10,[0]!_phy_fast_dll_lock*2^9,RTOS!_phy_rd_rl_delay),8)</definedName>
    <definedName name="_EMIF_DDR_PHY_CTRL_1_VAL" comment="Register*****OFFSET: 0x000000E4*****" localSheetId="5" hidden="1">DEC2HEX(SUM('VREF (LPDDR4)'!_phy_rdlvl_mask*2^27,[0]!_phy_rdlvlgate_mask*2^26,[0]!_phy_wrlvl_mask*2^25,[0]!_phy_half_delay*2^21,[0]!_phy_clk_stall_level*2^20,[0]!_phy_dis_calib_rst*2^19,[0]!_phy_invert_clk*2^18,[0]!_phy_dll_lock_diff*2^10,[0]!_phy_fast_dll_lock*2^9,'VREF (LPDDR4)'!_phy_rd_rl_delay),8)</definedName>
    <definedName name="_EMIF_DDR_PHY_CTRL_1_VAL" comment="Register*****OFFSET: 0x000000E4*****" hidden="1">DEC2HEX(SUM(_phy_rdlvl_mask*2^27,_phy_rdlvlgate_mask*2^26,_phy_wrlvl_mask*2^25,_phy_half_delay*2^21,_phy_clk_stall_level*2^20,_phy_dis_calib_rst*2^19,_phy_invert_clk*2^18,_phy_dll_lock_diff*2^10,_phy_fast_dll_lock*2^9,_phy_rd_rl_delay),8)</definedName>
    <definedName name="_EMIF_DDR_PHY_CTRL_1_VAL_NOLVL" comment="**********" localSheetId="7" hidden="1">DEC2HEX(SUM(1*2^27,1*2^26,1*2^25,[0]!_phy_half_delay*2^21,[0]!_phy_clk_stall_level*2^20,[0]!_phy_dis_calib_rst*2^19,[0]!_phy_invert_clk*2^18,[0]!_phy_dll_lock_diff*2^10,[0]!_phy_fast_dll_lock*2^9,GEL!_phy_rd_rl_delay),8)</definedName>
    <definedName name="_EMIF_DDR_PHY_CTRL_1_VAL_NOLVL" comment="**********" localSheetId="9" hidden="1">DEC2HEX(SUM(1*2^27,1*2^26,1*2^25,[0]!_phy_half_delay*2^21,[0]!_phy_clk_stall_level*2^20,[0]!_phy_dis_calib_rst*2^19,[0]!_phy_invert_clk*2^18,[0]!_phy_dll_lock_diff*2^10,[0]!_phy_fast_dll_lock*2^9,RTOS!_phy_rd_rl_delay),8)</definedName>
    <definedName name="_EMIF_DDR_PHY_CTRL_1_VAL_NOLVL" comment="**********" localSheetId="5" hidden="1">DEC2HEX(SUM(1*2^27,1*2^26,1*2^25,[0]!_phy_half_delay*2^21,[0]!_phy_clk_stall_level*2^20,[0]!_phy_dis_calib_rst*2^19,[0]!_phy_invert_clk*2^18,[0]!_phy_dll_lock_diff*2^10,[0]!_phy_fast_dll_lock*2^9,'VREF (LPDDR4)'!_phy_rd_rl_delay),8)</definedName>
    <definedName name="_EMIF_DDR_PHY_CTRL_1_VAL_NOLVL" comment="**********" hidden="1">DEC2HEX(SUM(1*2^27,1*2^26,1*2^25,_phy_half_delay*2^21,_phy_clk_stall_level*2^20,_phy_dis_calib_rst*2^19,_phy_invert_clk*2^18,_phy_dll_lock_diff*2^10,_phy_fast_dll_lock*2^9,_phy_rd_rl_delay),8)</definedName>
    <definedName name="_EMIF_DLL_CALIB_CTRL_VAL" comment="**********" hidden="1">"00050000"</definedName>
    <definedName name="_emif_io_dr" comment="**********" hidden="1">{80;60;48;40;34}</definedName>
    <definedName name="_emif_io_dr_acc" comment="User_Input**********" hidden="1">'[1]Step1-SystemDetails'!$F$50</definedName>
    <definedName name="_emif_io_dr_acc_rec" comment="**********" localSheetId="7" hidden="1">#N/A</definedName>
    <definedName name="_emif_io_dr_acc_rec" comment="**********" localSheetId="9" hidden="1">#N/A</definedName>
    <definedName name="_emif_io_dr_acc_rec" comment="**********" localSheetId="5" hidden="1">#N/A</definedName>
    <definedName name="_emif_io_dr_acc_rec" comment="**********" hidden="1">CHOOSE(MATCH('Title-README'!_soc_name,'Title-README'!_soc_names,0),_soc_emif_io_dr_acc_vayu,_soc_emif_io_dr_acc_vayu,_soc_emif_io_dr_acc_j6eco,_soc_emif_io_dr_acc_adaslow)</definedName>
    <definedName name="_emif_io_dr_ds" comment="User_Input**********" hidden="1">'[1]Step1-SystemDetails'!$F$51</definedName>
    <definedName name="_emif_io_dr_ds_rec" comment="**********" localSheetId="7" hidden="1">#N/A</definedName>
    <definedName name="_emif_io_dr_ds_rec" comment="**********" localSheetId="9" hidden="1">#N/A</definedName>
    <definedName name="_emif_io_dr_ds_rec" comment="**********" localSheetId="5" hidden="1">#N/A</definedName>
    <definedName name="_emif_io_dr_ds_rec" comment="**********" hidden="1">CHOOSE(MATCH('Title-README'!_soc_name,'Title-README'!_soc_names,0),_soc_emif_io_dr_ds_vayu,_soc_emif_io_dr_ds_vayu,_soc_emif_io_dr_ds_j6eco,_soc_emif_io_dr_ds_adaslow)</definedName>
    <definedName name="_emif_io_odt" comment="User_Input**********" hidden="1">'[1]Step1-SystemDetails'!$F$47</definedName>
    <definedName name="_emif_io_odt_list" comment="**********" hidden="1">{"Disabled";60;80;120}</definedName>
    <definedName name="_emif_io_sr" comment="**********" hidden="1">{"Fastest: SR[2:0] = 0b000";"SR[2:0] = 0b001";"SR[2:0] = 0b010";"SR[2:0] = 0b011";"SR[2:0] = 0b100";"SR[2:0] = 0b101";"SR[2:0] = 0b110";"Slowest: SR[2:0] = 0b111"}</definedName>
    <definedName name="_emif_io_sr_acc" comment="User_Input**********" hidden="1">'[1]Step1-SystemDetails'!$F$48</definedName>
    <definedName name="_emif_io_sr_acc_rec" comment="**********" localSheetId="7" hidden="1">#N/A</definedName>
    <definedName name="_emif_io_sr_acc_rec" comment="**********" localSheetId="9" hidden="1">#N/A</definedName>
    <definedName name="_emif_io_sr_acc_rec" comment="**********" localSheetId="5" hidden="1">#N/A</definedName>
    <definedName name="_emif_io_sr_acc_rec" comment="**********" hidden="1">CHOOSE(MATCH('Title-README'!_soc_name,'Title-README'!_soc_names,0),_soc_emif_io_sr_vayu,_soc_emif_io_sr_vayu,_soc_emif_io_sr_j6eco,_soc_emif_io_sr_acc_adaslow)</definedName>
    <definedName name="_emif_io_sr_ds" comment="User_Input**********" hidden="1">'[1]Step1-SystemDetails'!$F$49</definedName>
    <definedName name="_emif_io_sr_ds_rec" comment="**********" localSheetId="7" hidden="1">#N/A</definedName>
    <definedName name="_emif_io_sr_ds_rec" comment="**********" localSheetId="9" hidden="1">#N/A</definedName>
    <definedName name="_emif_io_sr_ds_rec" comment="**********" localSheetId="5" hidden="1">#N/A</definedName>
    <definedName name="_emif_io_sr_ds_rec" comment="**********" hidden="1">CHOOSE(MATCH('Title-README'!_soc_name,'Title-README'!_soc_names,0),_soc_emif_io_sr_vayu,_soc_emif_io_sr_vayu,_soc_emif_io_sr_j6eco,_soc_emif_io_sr_ds_adaslow)</definedName>
    <definedName name="_EMIF_RD_WR_EXEC_THRESH_VAL" comment="**********" hidden="1">"00000305"</definedName>
    <definedName name="_EMIF_RDWR_LVL_CTRL_VAL" comment="Register*****OFFSET: 0x000000DC*****" hidden="1">DEC2HEX(SUM(_phy_rdwrlvlfull_start*2^31),8)</definedName>
    <definedName name="_EMIF_RDWR_LVL_RMP_CTRL_VAL" comment="Register*****OFFSET: 0x000000D8*****" hidden="1">DEC2HEX(SUM(_phy_rdwrlvl_en*2^31),8)</definedName>
    <definedName name="_EMIF_SDRAM_CONFIG_2_VAL" comment="Register*****OFFSET: 0x0000000C*****" hidden="1">DEC2HEX(SUM(_sdram_cs1nvmen*2^30,_sdram_ebank_pos*2^27,_sdram_rdbnum*2^4,_sdram_rdbsize),8)</definedName>
    <definedName name="_EMIF_SDRAM_CONFIG_VAL" comment="Register*****OFFSET: 0x00000008*****" localSheetId="7" hidden="1">DEC2HEX(SUM([0]!_sdram_config_type*2^29,[0]!_sdram_config_ibank_pos*2^27,GEL!_sdram_config_rtt*2^24,[0]!_sdram_config_ddr2_dqs*2^23,GEL!_sdram_config_dyn_rtt*2^21,[0]!_sdram_config_dll_dis*2^20,GEL!_sdram_config_drive_imp*2^18,[0]!_sdram_cwl_val*2^16,[0]!_sdram_config_narrow_mode*2^14,GEL!_sdram_cl_val*2^10,GEL!_sdram_config_rowsize*2^7,GEL!_sdram_ibank_val*2^4,[0]!_sdram_config_ebank*2^3,GEL!_sdram_config_pagesize),8)</definedName>
    <definedName name="_EMIF_SDRAM_CONFIG_VAL" comment="Register*****OFFSET: 0x00000008*****" localSheetId="9" hidden="1">DEC2HEX(SUM([0]!_sdram_config_type*2^29,[0]!_sdram_config_ibank_pos*2^27,RTOS!_sdram_config_rtt*2^24,[0]!_sdram_config_ddr2_dqs*2^23,RTOS!_sdram_config_dyn_rtt*2^21,[0]!_sdram_config_dll_dis*2^20,RTOS!_sdram_config_drive_imp*2^18,[0]!_sdram_cwl_val*2^16,[0]!_sdram_config_narrow_mode*2^14,RTOS!_sdram_cl_val*2^10,RTOS!_sdram_config_rowsize*2^7,RTOS!_sdram_ibank_val*2^4,[0]!_sdram_config_ebank*2^3,RTOS!_sdram_config_pagesize),8)</definedName>
    <definedName name="_EMIF_SDRAM_CONFIG_VAL" comment="Register*****OFFSET: 0x00000008*****" localSheetId="5" hidden="1">DEC2HEX(SUM([0]!_sdram_config_type*2^29,[0]!_sdram_config_ibank_pos*2^27,'VREF (LPDDR4)'!_sdram_config_rtt*2^24,[0]!_sdram_config_ddr2_dqs*2^23,'VREF (LPDDR4)'!_sdram_config_dyn_rtt*2^21,[0]!_sdram_config_dll_dis*2^20,'VREF (LPDDR4)'!_sdram_config_drive_imp*2^18,[0]!_sdram_cwl_val*2^16,[0]!_sdram_config_narrow_mode*2^14,'VREF (LPDDR4)'!_sdram_cl_val*2^10,'VREF (LPDDR4)'!_sdram_config_rowsize*2^7,'VREF (LPDDR4)'!_sdram_ibank_val*2^4,[0]!_sdram_config_ebank*2^3,'VREF (LPDDR4)'!_sdram_config_pagesize),8)</definedName>
    <definedName name="_EMIF_SDRAM_CONFIG_VAL" comment="Register*****OFFSET: 0x00000008*****" hidden="1">DEC2HEX(SUM(_sdram_config_type*2^29,_sdram_config_ibank_pos*2^27,_sdram_config_rtt*2^24,_sdram_config_ddr2_dqs*2^23,_sdram_config_dyn_rtt*2^21,_sdram_config_dll_dis*2^20,_sdram_config_drive_imp*2^18,_sdram_cwl_val*2^16,_sdram_config_narrow_mode*2^14,_sdram_cl_val*2^10,_sdram_config_rowsize*2^7,_sdram_ibank_val*2^4,_sdram_config_ebank*2^3,_sdram_config_pagesize),8)</definedName>
    <definedName name="_emif_sdram_config_val_avatar" comment="**********" localSheetId="7" hidden="1">DEC2HEX(SUM([0]!_sdram_config_type*2^29,[0]!_sdram_config_ibank_pos*2^27,GEL!_sdram_config_rtt*2^24,[0]!_sdram_config_ddr2_dqs*2^23,GEL!_sdram_config_dyn_rtt*2^21,[0]!_sdram_config_dll_dis*2^20,GEL!_sdram_config_drive_imp*2^18,[0]!_sdram_cwl_val*2^16,[0]!_sdram_config_narrow_mode*2^14,GEL!_sdram_cl_val*2^10,GEL!_sdram_config_rowsize*2^7,GEL!_sdram_ibank_val*2^4,[0]!_sdram_config_ebank*2^3,GEL!_sdram_config_pagesize),8)</definedName>
    <definedName name="_emif_sdram_config_val_avatar" comment="**********" localSheetId="9" hidden="1">DEC2HEX(SUM([0]!_sdram_config_type*2^29,[0]!_sdram_config_ibank_pos*2^27,RTOS!_sdram_config_rtt*2^24,[0]!_sdram_config_ddr2_dqs*2^23,RTOS!_sdram_config_dyn_rtt*2^21,[0]!_sdram_config_dll_dis*2^20,RTOS!_sdram_config_drive_imp*2^18,[0]!_sdram_cwl_val*2^16,[0]!_sdram_config_narrow_mode*2^14,RTOS!_sdram_cl_val*2^10,RTOS!_sdram_config_rowsize*2^7,RTOS!_sdram_ibank_val*2^4,[0]!_sdram_config_ebank*2^3,RTOS!_sdram_config_pagesize),8)</definedName>
    <definedName name="_emif_sdram_config_val_avatar" comment="**********" localSheetId="5" hidden="1">DEC2HEX(SUM([0]!_sdram_config_type*2^29,[0]!_sdram_config_ibank_pos*2^27,'VREF (LPDDR4)'!_sdram_config_rtt*2^24,[0]!_sdram_config_ddr2_dqs*2^23,'VREF (LPDDR4)'!_sdram_config_dyn_rtt*2^21,[0]!_sdram_config_dll_dis*2^20,'VREF (LPDDR4)'!_sdram_config_drive_imp*2^18,[0]!_sdram_cwl_val*2^16,[0]!_sdram_config_narrow_mode*2^14,'VREF (LPDDR4)'!_sdram_cl_val*2^10,'VREF (LPDDR4)'!_sdram_config_rowsize*2^7,'VREF (LPDDR4)'!_sdram_ibank_val*2^4,[0]!_sdram_config_ebank*2^3,'VREF (LPDDR4)'!_sdram_config_pagesize),8)</definedName>
    <definedName name="_emif_sdram_config_val_avatar" comment="**********" hidden="1">DEC2HEX(SUM(_sdram_config_type*2^29,_sdram_config_ibank_pos*2^27,_sdram_config_rtt*2^24,_sdram_config_ddr2_dqs*2^23,_sdram_config_dyn_rtt*2^21,_sdram_config_dll_dis*2^20,_sdram_config_drive_imp*2^18,_sdram_cwl_val*2^16,_sdram_config_narrow_mode*2^14,_sdram_cl_val*2^10,_sdram_config_rowsize*2^7,_sdram_ibank_val*2^4,_sdram_config_ebank*2^3,_sdram_config_pagesize),8)</definedName>
    <definedName name="_EMIF_SDRAM_REF_CTRL_INIT_VAL" comment="Register*****OFFSET: 0x00000010*****" hidden="1">DEC2HEX(SUM(_sdram_initref_dis*2^31,_sdram_srt*2^29,_sdram_asr*2^28,_sdram_pasr*2^24,_t_refi_init),8)</definedName>
    <definedName name="_EMIF_SDRAM_REF_CTRL_VAL" comment="Register*****OFFSET: 0x00000010*****" localSheetId="7" hidden="1">DEC2HEX(SUM([0]!_sdram_initref_dis*2^31,[0]!_sdram_srt*2^29,[0]!_sdram_asr*2^28,[0]!_sdram_pasr*2^24,GEL!_t_refi),8)</definedName>
    <definedName name="_EMIF_SDRAM_REF_CTRL_VAL" comment="Register*****OFFSET: 0x00000010*****" localSheetId="9" hidden="1">DEC2HEX(SUM([0]!_sdram_initref_dis*2^31,[0]!_sdram_srt*2^29,[0]!_sdram_asr*2^28,[0]!_sdram_pasr*2^24,RTOS!_t_refi),8)</definedName>
    <definedName name="_EMIF_SDRAM_REF_CTRL_VAL" comment="Register*****OFFSET: 0x00000010*****" localSheetId="5" hidden="1">DEC2HEX(SUM([0]!_sdram_initref_dis*2^31,[0]!_sdram_srt*2^29,[0]!_sdram_asr*2^28,[0]!_sdram_pasr*2^24,'VREF (LPDDR4)'!_t_refi),8)</definedName>
    <definedName name="_EMIF_SDRAM_REF_CTRL_VAL" comment="Register*****OFFSET: 0x00000010*****" hidden="1">DEC2HEX(SUM(_sdram_initref_dis*2^31,_sdram_srt*2^29,_sdram_asr*2^28,_sdram_pasr*2^24,_t_refi),8)</definedName>
    <definedName name="_EMIF_SDRAM_TIM_1_VAL" comment="Register*****OFFSET: 0x00000018*****" localSheetId="7" hidden="1">DEC2HEX(SUM([0]!_t_rtw_gel*2^29,GEL!_t_rp*2^25,GEL!_t_rcd*2^21,GEL!_t_wr*2^17,GEL!_t_ras*2^12,GEL!_t_rc*2^6,GEL!_t_rrd*2^3,GEL!_t_wtr),8)</definedName>
    <definedName name="_EMIF_SDRAM_TIM_1_VAL" comment="Register*****OFFSET: 0x00000018*****" localSheetId="9" hidden="1">DEC2HEX(SUM([0]!_t_rtw_gel*2^29,RTOS!_t_rp*2^25,RTOS!_t_rcd*2^21,RTOS!_t_wr*2^17,RTOS!_t_ras*2^12,RTOS!_t_rc*2^6,RTOS!_t_rrd*2^3,RTOS!_t_wtr),8)</definedName>
    <definedName name="_EMIF_SDRAM_TIM_1_VAL" comment="Register*****OFFSET: 0x00000018*****" localSheetId="5" hidden="1">DEC2HEX(SUM([0]!_t_rtw_gel*2^29,'VREF (LPDDR4)'!_t_rp*2^25,'VREF (LPDDR4)'!_t_rcd*2^21,'VREF (LPDDR4)'!_t_wr*2^17,'VREF (LPDDR4)'!_t_ras*2^12,'VREF (LPDDR4)'!_t_rc*2^6,'VREF (LPDDR4)'!_t_rrd*2^3,'VREF (LPDDR4)'!_t_wtr),8)</definedName>
    <definedName name="_EMIF_SDRAM_TIM_1_VAL" comment="Register*****OFFSET: 0x00000018*****" hidden="1">DEC2HEX(SUM(_t_rtw_gel*2^29,_t_rp*2^25,_t_rcd*2^21,_t_wr*2^17,_t_ras*2^12,_t_rc*2^6,_t_rrd*2^3,_t_wtr),8)</definedName>
    <definedName name="_EMIF_SDRAM_TIM_2_VAL" comment="Register*****OFFSET: 0x00000020*****" localSheetId="7" hidden="1">DEC2HEX(SUM(GEL!_t_xp*2^28,GEL!_t_xsnr*2^16,GEL!_t_xsrd*2^6,GEL!_t_rtp*2^3,GEL!_t_cke),8)</definedName>
    <definedName name="_EMIF_SDRAM_TIM_2_VAL" comment="Register*****OFFSET: 0x00000020*****" localSheetId="9" hidden="1">DEC2HEX(SUM(RTOS!_t_xp*2^28,RTOS!_t_xsnr*2^16,RTOS!_t_xsrd*2^6,RTOS!_t_rtp*2^3,RTOS!_t_cke),8)</definedName>
    <definedName name="_EMIF_SDRAM_TIM_2_VAL" comment="Register*****OFFSET: 0x00000020*****" localSheetId="5" hidden="1">DEC2HEX(SUM('VREF (LPDDR4)'!_t_xp*2^28,'VREF (LPDDR4)'!_t_xsnr*2^16,'VREF (LPDDR4)'!_t_xsrd*2^6,'VREF (LPDDR4)'!_t_rtp*2^3,'VREF (LPDDR4)'!_t_cke),8)</definedName>
    <definedName name="_EMIF_SDRAM_TIM_2_VAL" comment="Register*****OFFSET: 0x00000020*****" hidden="1">DEC2HEX(SUM(_t_xp*2^28,_t_xsnr*2^16,_t_xsrd*2^6,_t_rtp*2^3,_t_cke),8)</definedName>
    <definedName name="_EMIF_SDRAM_TIM_3_VAL" comment="Register*****OFFSET: 0x00000028*****" localSheetId="7" hidden="1">DEC2HEX(SUM([0]!_t_pdll_ul*2^28,[0]!_t_csta*2^24,GEL!_t_ckesr*2^21,GEL!_t_zqcs*2^15,[0]!_t_dqsck_max*2^13,GEL!_t_rfc*2^4,GEL!_t_ras_max),8)</definedName>
    <definedName name="_EMIF_SDRAM_TIM_3_VAL" comment="Register*****OFFSET: 0x00000028*****" localSheetId="9" hidden="1">DEC2HEX(SUM([0]!_t_pdll_ul*2^28,[0]!_t_csta*2^24,RTOS!_t_ckesr*2^21,RTOS!_t_zqcs*2^15,[0]!_t_dqsck_max*2^13,RTOS!_t_rfc*2^4,RTOS!_t_ras_max),8)</definedName>
    <definedName name="_EMIF_SDRAM_TIM_3_VAL" comment="Register*****OFFSET: 0x00000028*****" localSheetId="5" hidden="1">DEC2HEX(SUM([0]!_t_pdll_ul*2^28,[0]!_t_csta*2^24,'VREF (LPDDR4)'!_t_ckesr*2^21,'VREF (LPDDR4)'!_t_zqcs*2^15,[0]!_t_dqsck_max*2^13,'VREF (LPDDR4)'!_t_rfc*2^4,'VREF (LPDDR4)'!_t_ras_max),8)</definedName>
    <definedName name="_EMIF_SDRAM_TIM_3_VAL" comment="Register*****OFFSET: 0x00000028*****" hidden="1">DEC2HEX(SUM(_t_pdll_ul*2^28,_t_csta*2^24,_t_ckesr*2^21,_t_zqcs*2^15,_t_dqsck_max*2^13,_t_rfc*2^4,_t_ras_max),8)</definedName>
    <definedName name="_EMIF_TEMP_ALERT_CONFIG_VAL" comment="**********" hidden="1">"00000000"</definedName>
    <definedName name="_EMIF_ZQ_CONFIG_VAL" comment="Register*****OFFSET: 0x000000C8*****" hidden="1">DEC2HEX(SUM(_zq_cs1en*2^31,_zq_cs0en*2^30,_zq_dualcalen*2^29,_zq_sfexiten*2^28,_zq_zqinit_mult*2^18,_zq_zqcl_mult*2^16,_zq_refinterval),8)</definedName>
    <definedName name="_emif1_ext_phy_ctrl_1_val_omap5" comment="Register_SOC-OMAP5*****OFFSET: 0x00000200*****INTERNAL ONLY" hidden="1">DEC2HEX(SUM(_ctrl_ratio2*2^20,_ctrl_ratio1*2^10,_ctrl_ratio0),8)</definedName>
    <definedName name="_emif1_ext_phy_ctrl_1_val_vayu" comment="Register_SOC-Vayu**********OFFSET: 0x00000200" hidden="1">DEC2HEX(SUM(_ctrl_ratio2*2^20,_ctrl_ratio1*2^10,_ctrl_ratio0),8)</definedName>
    <definedName name="_emif1_ext_phy_ctrl_10_val_omap5" comment="Register_SOC-OMAP5*****OFFSET: 0x00000248*****INTERNAL ONLY" hidden="1">DEC2HEX(TRUNC(SUM(_wrdata_ratio3_ch1_cs1*2^10,_wrdata_ratio3_ch1_cs0)/2^4)-(TRUNC(SUM(_wrdata_ratio3_ch1_cs1*2^10,_wrdata_ratio3_ch1_cs0)/2^36)*2^32),8)</definedName>
    <definedName name="_emif1_ext_phy_ctrl_10_val_vayu" comment="Register_SOC-Vayu**********OFFSET: 0x00000248" localSheetId="7" hidden="1">DEC2HEX(SUM(GEL!_rddqs_ratio3*2^16,GEL!_rddqs_ratio3),8)</definedName>
    <definedName name="_emif1_ext_phy_ctrl_10_val_vayu" comment="Register_SOC-Vayu**********OFFSET: 0x00000248" localSheetId="9" hidden="1">DEC2HEX(SUM(RTOS!_rddqs_ratio3*2^16,RTOS!_rddqs_ratio3),8)</definedName>
    <definedName name="_emif1_ext_phy_ctrl_10_val_vayu" comment="Register_SOC-Vayu**********OFFSET: 0x00000248" localSheetId="5" hidden="1">DEC2HEX(SUM('VREF (LPDDR4)'!_rddqs_ratio3*2^16,'VREF (LPDDR4)'!_rddqs_ratio3),8)</definedName>
    <definedName name="_emif1_ext_phy_ctrl_10_val_vayu" comment="Register_SOC-Vayu**********OFFSET: 0x00000248" hidden="1">DEC2HEX(SUM(_rddqs_ratio3*2^16,_rddqs_ratio3),8)</definedName>
    <definedName name="_emif1_ext_phy_ctrl_11_val_omap5" comment="Register_SOC-OMAP5*****OFFSET: 0x00000250*****INTERNAL ONLY" hidden="1">DEC2HEX(SUM(_wrdqs_ratio1_ch1_cs1*2^30,_wrdqs_ratio1_ch1_cs0*2^20,_wrdqs_ratio0_ch1_cs1*2^10,_wrdqs_ratio0_ch1_cs0)-(TRUNC(SUM(_wrdqs_ratio1_ch1_cs1*2^30,_wrdqs_ratio1_ch1_cs0*2^20,_wrdqs_ratio0_ch1_cs1*2^10,_wrdqs_ratio0_ch1_cs0)/2^32)*2^32),8)</definedName>
    <definedName name="_emif1_ext_phy_ctrl_11_val_vayu" comment="Register_SOC-Vayu**********OFFSET: 0x00000250" localSheetId="7" hidden="1">DEC2HEX(SUM(GEL!_rddqs_ratio4*2^16,GEL!_rddqs_ratio4),8)</definedName>
    <definedName name="_emif1_ext_phy_ctrl_11_val_vayu" comment="Register_SOC-Vayu**********OFFSET: 0x00000250" localSheetId="9" hidden="1">DEC2HEX(SUM(RTOS!_rddqs_ratio4*2^16,RTOS!_rddqs_ratio4),8)</definedName>
    <definedName name="_emif1_ext_phy_ctrl_11_val_vayu" comment="Register_SOC-Vayu**********OFFSET: 0x00000250" localSheetId="5" hidden="1">DEC2HEX(SUM('VREF (LPDDR4)'!_rddqs_ratio4*2^16,'VREF (LPDDR4)'!_rddqs_ratio4),8)</definedName>
    <definedName name="_emif1_ext_phy_ctrl_11_val_vayu" comment="Register_SOC-Vayu**********OFFSET: 0x00000250" hidden="1">DEC2HEX(SUM(_rddqs_ratio4*2^16,_rddqs_ratio4),8)</definedName>
    <definedName name="_emif1_ext_phy_ctrl_12_val_omap5" comment="Register_SOC-OMAP5*****OFFSET: 0x00000258*****INTERNAL ONLY" hidden="1">DEC2HEX(TRUNC(SUM(_wrdqs_ratio3_ch1_cs0*2^30,_wrdqs_ratio2_ch1_cs1*2^20,_wrdqs_ratio2_ch1_cs0*2^10,_wrdqs_ratio1_ch1_cs1)/2^2)-(TRUNC(SUM(_wrdqs_ratio3_ch1_cs0*2^30,_wrdqs_ratio2_ch1_cs1*2^20,_wrdqs_ratio2_ch1_cs0*2^10,_wrdqs_ratio1_ch1_cs1)/2^34)*2^32),8)</definedName>
    <definedName name="_emif1_ext_phy_ctrl_12_val_vayu" comment="Register_SOC-Vayu**********OFFSET: 0x00000258" hidden="1">DEC2HEX(SUM(_wrdata_ratio0_ch1_cs1*2^16,_wrdata_ratio0_ch1_cs0),8)</definedName>
    <definedName name="_emif1_ext_phy_ctrl_13_val_omap5" comment="Register_SOC-OMAP5*****OFFSET: 0x00000260*****INTERNAL ONLY" hidden="1">DEC2HEX(TRUNC(SUM(_wrdqs_ratio3_ch1_cs1*2^10,_wrdqs_ratio3_ch1_cs0)/2^4)-(TRUNC(SUM(_wrdqs_ratio3_ch1_cs1*2^10,_wrdqs_ratio3_ch1_cs0)/2^36)*2^32),8)</definedName>
    <definedName name="_emif1_ext_phy_ctrl_13_val_vayu" comment="Register_SOC-Vayu**********OFFSET: 0x00000260" hidden="1">DEC2HEX(SUM(_wrdata_ratio1_ch1_cs1*2^16,_wrdata_ratio1_ch1_cs0),8)</definedName>
    <definedName name="_emif1_ext_phy_ctrl_14_val_omap5" comment="Register_SOC-OMAP5*****OFFSET: 0x00000268*****INTERNAL ONLY" hidden="1">DEC2HEX(SUM(_phy_rddqs_delay*2^24,_phy_fifowe_delay*2^12,_phy_ctrl_delay)-(TRUNC(SUM(_phy_rddqs_delay*2^24,_phy_fifowe_delay*2^12,_phy_ctrl_delay)/2^32)*2^32),8)</definedName>
    <definedName name="_emif1_ext_phy_ctrl_14_val_vayu" comment="Register_SOC-Vayu**********OFFSET: 0x00000268" hidden="1">DEC2HEX(SUM(_wrdata_ratio2_ch1_cs1*2^16,_wrdata_ratio2_ch1_cs0),8)</definedName>
    <definedName name="_emif1_ext_phy_ctrl_15_val_omap5" comment="Register_SOC-OMAP5*****OFFSET: 0x00000270*****INTERNAL ONLY" hidden="1">DEC2HEX(TRUNC(SUM(_phy_wrdata_delay*2^24,_phy_wrdqs_delay*2^12,_phy_rddqs_delay)/2^8),8)</definedName>
    <definedName name="_emif1_ext_phy_ctrl_15_val_vayu" comment="Register_SOC-Vayu**********OFFSET: 0x00000270" hidden="1">DEC2HEX(SUM(_wrdata_ratio3_ch1_cs1*2^16,_wrdata_ratio3_ch1_cs0),8)</definedName>
    <definedName name="_emif1_ext_phy_ctrl_16_val_omap5" comment="Register_SOC-OMAP5*****OFFSET: 0x00000278*****INTERNAL ONLY" hidden="1">DEC2HEX(SUM(_phy_dq_offset3*2^21,_phy_dq_offset2*2^14,_phy_dq_offset1*2^7,_phy_dq_offset0),8)</definedName>
    <definedName name="_emif1_ext_phy_ctrl_16_val_vayu" comment="Register_SOC-Vayu**********OFFSET: 0x00000278" hidden="1">DEC2HEX(SUM(_wrdata_ratio4_ch1_cs1*2^16,_wrdata_ratio4_ch1_cs0),8)</definedName>
    <definedName name="_emif1_ext_phy_ctrl_17_val_omap5" comment="Register_SOC-OMAP5*****OFFSET: 0x00000280*****INTERNAL ONLY" hidden="1">DEC2HEX(SUM(_phy_gatelvl_init_mode*2^1,_phy_use_rank0_delays),8)</definedName>
    <definedName name="_emif1_ext_phy_ctrl_17_val_vayu" comment="Register_SOC-Vayu**********OFFSET: 0x00000280" hidden="1">DEC2HEX(SUM(_wrdqs_ratio0_ch1_cs1*2^16,_wrdqs_ratio0_ch1_cs0),8)</definedName>
    <definedName name="_emif1_ext_phy_ctrl_18_val_omap5" comment="Register_SOC-OMAP5*****OFFSET: 0x00000288*****INTERNAL ONLY" hidden="1">DEC2HEX(SUM(_fifowe_init1_ch1_cs0*2^22,_fifowe_init0_ch1_cs1*2^11,_fifowe_init0_ch1_cs0)-(TRUNC(SUM(_fifowe_init1_ch1_cs0*2^22,_fifowe_init0_ch1_cs1*2^11,_fifowe_init0_ch1_cs0)/2^32)*2^32),8)</definedName>
    <definedName name="_emif1_ext_phy_ctrl_18_val_vayu" comment="Register_SOC-Vayu**********OFFSET: 0x00000288" hidden="1">DEC2HEX(SUM(_wrdqs_ratio1_ch1_cs1*2^16,_wrdqs_ratio1_ch1_cs0),8)</definedName>
    <definedName name="_emif1_ext_phy_ctrl_19_val_omap5" comment="Register_SOC-OMAP5*****OFFSET: 0x00000290*****INTERNAL ONLY" hidden="1">DEC2HEX(TRUNC(SUM(_fifowe_init2_ch1_cs1*2^33,_fifowe_init2_ch1_cs0*2^22,_fifowe_init1_ch1_cs1*2^11,_fifowe_init1_ch1_cs0)/2^10)-(TRUNC(SUM(_fifowe_init2_ch1_cs1*2^33,_fifowe_init2_ch1_cs0*2^22,_fifowe_init1_ch1_cs1*2^11,_fifowe_init1_ch1_cs0)/2^42)*2^32),8)</definedName>
    <definedName name="_emif1_ext_phy_ctrl_19_val_vayu" comment="Register_SOC-Vayu**********OFFSET: 0x00000290" hidden="1">DEC2HEX(SUM(_wrdqs_ratio2_ch1_cs1*2^16,_wrdqs_ratio2_ch1_cs0),8)</definedName>
    <definedName name="_emif1_ext_phy_ctrl_2_val_omap5" comment="Register_SOC-OMAP5*****OFFSET: 0x00000208*****INTERNAL ONLY" hidden="1">DEC2HEX(SUM(_fifowe_ratio1_ch1_cs0*2^22,_fifowe_ratio0_ch1_cs1*2^11,_fifowe_ratio0_ch1_cs0)-(TRUNC(SUM(_fifowe_ratio1_ch1_cs0*2^22,_fifowe_ratio0_ch1_cs1*2^11,_fifowe_ratio0_ch1_cs0)/2^32)*2^32),8)</definedName>
    <definedName name="_emif1_ext_phy_ctrl_2_val_vayu" comment="Register_SOC-Vayu**********OFFSET: 0x00000208" hidden="1">DEC2HEX(SUM(_fifowe_ratio0_ch1_cs1*2^16,_fifowe_ratio0_ch1_cs0),8)</definedName>
    <definedName name="_emif1_ext_phy_ctrl_20_val_omap5" comment="Register_SOC-OMAP5*****OFFSET: 0x00000298*****INTERNAL ONLY" hidden="1">DEC2HEX(TRUNC(SUM(_fifowe_init3_ch1_cs1*2^22,_fifowe_init3_ch1_cs0*2^11,_fifowe_init2_ch1_cs1)/2^9)-(TRUNC(SUM(_fifowe_init3_ch1_cs1*2^22,_fifowe_init3_ch1_cs0*2^11,_fifowe_init2_ch1_cs1)/2^41)*2^32),8)</definedName>
    <definedName name="_emif1_ext_phy_ctrl_20_val_vayu" comment="Register_SOC-Vayu**********OFFSET: 0x00000298" hidden="1">DEC2HEX(SUM(_wrdqs_ratio3_ch1_cs1*2^16,_wrdqs_ratio3_ch1_cs0),8)</definedName>
    <definedName name="_emif1_ext_phy_ctrl_21_val_omap5" comment="Register_SOC-OMAP5*****OFFSET: 0x000002A0*****INTERNAL ONLY" hidden="1">DEC2HEX(SUM(_wrdqs_init1_ch1_cs1*2^30,_wrdqs_init1_ch1_cs0*2^20,_wrdqs_init0_ch1_cs1*2^10,_wrdqs_init0_ch1_cs0)-(TRUNC(SUM(_wrdqs_init1_ch1_cs1*2^30,_wrdqs_init1_ch1_cs0*2^20,_wrdqs_init0_ch1_cs1*2^10,_wrdqs_init0_ch1_cs0)/2^32)*2^32),8)</definedName>
    <definedName name="_emif1_ext_phy_ctrl_21_val_vayu" comment="Register_SOC-Vayu**********OFFSET: 0x000002A0" hidden="1">DEC2HEX(SUM(_wrdqs_ratio4_ch1_cs1*2^16,_wrdqs_ratio4_ch1_cs0),8)</definedName>
    <definedName name="_emif1_ext_phy_ctrl_22_val_omap5" comment="Register_SOC-OMAP5*****OFFSET: 0x000002A8*****INTERNAL ONLY" hidden="1">DEC2HEX(TRUNC(SUM(_wrdqs_init3_ch1_cs0*2^30,_wrdqs_init2_ch1_cs1*2^20,_wrdqs_init2_ch1_cs0*2^10,_wrdqs_init1_ch1_cs1)/2^2)-(TRUNC(SUM(_wrdqs_init3_ch1_cs0*2^30,_wrdqs_init2_ch1_cs1*2^20,_wrdqs_init2_ch1_cs0*2^10,_wrdqs_init1_ch1_cs1)/2^34)*2^32),8)</definedName>
    <definedName name="_emif1_ext_phy_ctrl_22_val_vayu" comment="Register_SOC-Vayu**********OFFSET: 0x000002A8" hidden="1">DEC2HEX(SUM(_phy_fifowe_delay*2^16,_phy_ctrl_delay),8)</definedName>
    <definedName name="_emif1_ext_phy_ctrl_23_val_omap5" comment="Register_SOC-OMAP5*****OFFSET: 0x000002B0*****INTERNAL ONLY" hidden="1">DEC2HEX(TRUNC(SUM(_wrdqs_init3_ch1_cs1*2^10,_wrdqs_init3_ch1_cs0)/2^4)-(TRUNC(SUM(_wrdqs_init3_ch1_cs1*2^10,_wrdqs_init3_ch1_cs0)/2^36)*2^32),8)</definedName>
    <definedName name="_emif1_ext_phy_ctrl_23_val_vayu" comment="Register_SOC-Vayu**********OFFSET: 0x000002B0" hidden="1">DEC2HEX(SUM(_phy_wrdqs_delay*2^16,_phy_rddqs_delay),8)</definedName>
    <definedName name="_emif1_ext_phy_ctrl_24_val_omap5" comment="Register_SOC-OMAP5*****OFFSET: 0x000002B8*****INTERNAL ONLY" hidden="1">DEC2HEX(SUM(_phy_wrlvl_num_dq0*2^4,_phy_gatelvl_num_dq0),8)</definedName>
    <definedName name="_emif1_ext_phy_ctrl_24_val_vayu" comment="Register_SOC-Vayu**********OFFSET: 0x000002B8" hidden="1">DEC2HEX(SUM(_phy_dq_offset4*2^24,_phy_gatelvl_init_mode*2^16,_phy_use_rank0_delays*2^12,_phy_wrdata_delay),8)</definedName>
    <definedName name="_emif1_ext_phy_ctrl_3_val_omap5" comment="Register_SOC-OMAP5*****OFFSET: 0x00000210*****INTERNAL ONLY" hidden="1">DEC2HEX(TRUNC(SUM(_fifowe_ratio2_ch1_cs1*2^33,_fifowe_ratio2_ch1_cs0*2^22,_fifowe_ratio1_ch1_cs1*2^11,_fifowe_ratio1_ch1_cs0)/2^10)-(TRUNC(SUM(_fifowe_ratio2_ch1_cs1*2^33,_fifowe_ratio2_ch1_cs0*2^22,_fifowe_ratio1_ch1_cs1*2^11,_fifowe_ratio1_ch1_cs0)/2^42)*2^32),8)</definedName>
    <definedName name="_emif1_ext_phy_ctrl_3_val_vayu" comment="Register_SOC-Vayu**********OFFSET: 0x00000210" hidden="1">DEC2HEX(SUM(_fifowe_ratio1_ch1_cs1*2^16,_fifowe_ratio1_ch1_cs0),8)</definedName>
    <definedName name="_emif1_ext_phy_ctrl_4_val_omap5" comment="Register_SOC-OMAP5*****OFFSET: 0x00000218*****INTERNAL ONLY" hidden="1">DEC2HEX(TRUNC(SUM(_fifowe_ratio3_ch1_cs1*2^22,_fifowe_ratio3_ch1_cs0*2^11,_fifowe_ratio2_ch1_cs1)/2^9)-(TRUNC(SUM(_fifowe_ratio3_ch1_cs1*2^22,_fifowe_ratio3_ch1_cs0*2^11,_fifowe_ratio2_ch1_cs1)/2^41)*2^32),8)</definedName>
    <definedName name="_emif1_ext_phy_ctrl_4_val_vayu" comment="Register_SOC-Vayu**********OFFSET: 0x00000218" hidden="1">DEC2HEX(SUM(_fifowe_ratio2_ch1_cs1*2^16,_fifowe_ratio2_ch1_cs0),8)</definedName>
    <definedName name="_emif1_ext_phy_ctrl_5_val_omap5" comment="Register_SOC-OMAP5*****OFFSET: 0x00000220*****INTERNAL ONLY" localSheetId="7" hidden="1">DEC2HEX(SUM(GEL!_rddqs_ratio1*2^30,GEL!_rddqs_ratio1*2^20,GEL!_rddqs_ratio0*2^10,GEL!_rddqs_ratio0)-(TRUNC(SUM(GEL!_rddqs_ratio1*2^30,GEL!_rddqs_ratio1*2^20,GEL!_rddqs_ratio0*2^10,GEL!_rddqs_ratio0)/2^32)*2^32),8)</definedName>
    <definedName name="_emif1_ext_phy_ctrl_5_val_omap5" comment="Register_SOC-OMAP5*****OFFSET: 0x00000220*****INTERNAL ONLY" localSheetId="9" hidden="1">DEC2HEX(SUM(RTOS!_rddqs_ratio1*2^30,RTOS!_rddqs_ratio1*2^20,RTOS!_rddqs_ratio0*2^10,RTOS!_rddqs_ratio0)-(TRUNC(SUM(RTOS!_rddqs_ratio1*2^30,RTOS!_rddqs_ratio1*2^20,RTOS!_rddqs_ratio0*2^10,RTOS!_rddqs_ratio0)/2^32)*2^32),8)</definedName>
    <definedName name="_emif1_ext_phy_ctrl_5_val_omap5" comment="Register_SOC-OMAP5*****OFFSET: 0x00000220*****INTERNAL ONLY" localSheetId="5" hidden="1">DEC2HEX(SUM('VREF (LPDDR4)'!_rddqs_ratio1*2^30,'VREF (LPDDR4)'!_rddqs_ratio1*2^20,'VREF (LPDDR4)'!_rddqs_ratio0*2^10,'VREF (LPDDR4)'!_rddqs_ratio0)-(TRUNC(SUM('VREF (LPDDR4)'!_rddqs_ratio1*2^30,'VREF (LPDDR4)'!_rddqs_ratio1*2^20,'VREF (LPDDR4)'!_rddqs_ratio0*2^10,'VREF (LPDDR4)'!_rddqs_ratio0)/2^32)*2^32),8)</definedName>
    <definedName name="_emif1_ext_phy_ctrl_5_val_omap5" comment="Register_SOC-OMAP5*****OFFSET: 0x00000220*****INTERNAL ONLY" hidden="1">DEC2HEX(SUM(_rddqs_ratio1*2^30,_rddqs_ratio1*2^20,_rddqs_ratio0*2^10,_rddqs_ratio0)-(TRUNC(SUM(_rddqs_ratio1*2^30,_rddqs_ratio1*2^20,_rddqs_ratio0*2^10,_rddqs_ratio0)/2^32)*2^32),8)</definedName>
    <definedName name="_emif1_ext_phy_ctrl_5_val_vayu" comment="Register_SOC-Vayu**********OFFSET: 0x00000220" hidden="1">DEC2HEX(SUM(_fifowe_ratio3_ch1_cs1*2^16,_fifowe_ratio3_ch1_cs0),8)</definedName>
    <definedName name="_emif1_ext_phy_ctrl_6_val_omap5" comment="Register_SOC-OMAP5*****OFFSET: 0x00000228*****INTERNAL ONLY" localSheetId="7" hidden="1">DEC2HEX(TRUNC(SUM(GEL!_rddqs_ratio3*2^30,GEL!_rddqs_ratio2*2^20,GEL!_rddqs_ratio2*2^10,GEL!_rddqs_ratio1)/2^2)-(TRUNC(SUM(GEL!_rddqs_ratio3*2^30,GEL!_rddqs_ratio2*2^20,GEL!_rddqs_ratio2*2^10,GEL!_rddqs_ratio1)/2^34)*2^32),8)</definedName>
    <definedName name="_emif1_ext_phy_ctrl_6_val_omap5" comment="Register_SOC-OMAP5*****OFFSET: 0x00000228*****INTERNAL ONLY" localSheetId="9" hidden="1">DEC2HEX(TRUNC(SUM(RTOS!_rddqs_ratio3*2^30,RTOS!_rddqs_ratio2*2^20,RTOS!_rddqs_ratio2*2^10,RTOS!_rddqs_ratio1)/2^2)-(TRUNC(SUM(RTOS!_rddqs_ratio3*2^30,RTOS!_rddqs_ratio2*2^20,RTOS!_rddqs_ratio2*2^10,RTOS!_rddqs_ratio1)/2^34)*2^32),8)</definedName>
    <definedName name="_emif1_ext_phy_ctrl_6_val_omap5" comment="Register_SOC-OMAP5*****OFFSET: 0x00000228*****INTERNAL ONLY" localSheetId="5" hidden="1">DEC2HEX(TRUNC(SUM('VREF (LPDDR4)'!_rddqs_ratio3*2^30,'VREF (LPDDR4)'!_rddqs_ratio2*2^20,'VREF (LPDDR4)'!_rddqs_ratio2*2^10,'VREF (LPDDR4)'!_rddqs_ratio1)/2^2)-(TRUNC(SUM('VREF (LPDDR4)'!_rddqs_ratio3*2^30,'VREF (LPDDR4)'!_rddqs_ratio2*2^20,'VREF (LPDDR4)'!_rddqs_ratio2*2^10,'VREF (LPDDR4)'!_rddqs_ratio1)/2^34)*2^32),8)</definedName>
    <definedName name="_emif1_ext_phy_ctrl_6_val_omap5" comment="Register_SOC-OMAP5*****OFFSET: 0x00000228*****INTERNAL ONLY" hidden="1">DEC2HEX(TRUNC(SUM(_rddqs_ratio3*2^30,_rddqs_ratio2*2^20,_rddqs_ratio2*2^10,_rddqs_ratio1)/2^2)-(TRUNC(SUM(_rddqs_ratio3*2^30,_rddqs_ratio2*2^20,_rddqs_ratio2*2^10,_rddqs_ratio1)/2^34)*2^32),8)</definedName>
    <definedName name="_emif1_ext_phy_ctrl_6_val_vayu" comment="Register_SOC-Vayu**********OFFSET: 0x00000228" hidden="1">DEC2HEX(SUM(_fifowe_ratio4_ch1_cs1*2^16,_fifowe_ratio4_ch1_cs0),8)</definedName>
    <definedName name="_emif1_ext_phy_ctrl_7_val_omap5" comment="Register_SOC-OMAP5*****OFFSET: 0x00000230*****INTERNAL ONLY" localSheetId="7" hidden="1">DEC2HEX(TRUNC(SUM(GEL!_rddqs_ratio3*2^10,GEL!_rddqs_ratio3)/2^4)-(TRUNC(SUM(GEL!_rddqs_ratio3*2^10,GEL!_rddqs_ratio3)/2^36)*2^32),8)</definedName>
    <definedName name="_emif1_ext_phy_ctrl_7_val_omap5" comment="Register_SOC-OMAP5*****OFFSET: 0x00000230*****INTERNAL ONLY" localSheetId="9" hidden="1">DEC2HEX(TRUNC(SUM(RTOS!_rddqs_ratio3*2^10,RTOS!_rddqs_ratio3)/2^4)-(TRUNC(SUM(RTOS!_rddqs_ratio3*2^10,RTOS!_rddqs_ratio3)/2^36)*2^32),8)</definedName>
    <definedName name="_emif1_ext_phy_ctrl_7_val_omap5" comment="Register_SOC-OMAP5*****OFFSET: 0x00000230*****INTERNAL ONLY" localSheetId="5" hidden="1">DEC2HEX(TRUNC(SUM('VREF (LPDDR4)'!_rddqs_ratio3*2^10,'VREF (LPDDR4)'!_rddqs_ratio3)/2^4)-(TRUNC(SUM('VREF (LPDDR4)'!_rddqs_ratio3*2^10,'VREF (LPDDR4)'!_rddqs_ratio3)/2^36)*2^32),8)</definedName>
    <definedName name="_emif1_ext_phy_ctrl_7_val_omap5" comment="Register_SOC-OMAP5*****OFFSET: 0x00000230*****INTERNAL ONLY" hidden="1">DEC2HEX(TRUNC(SUM(_rddqs_ratio3*2^10,_rddqs_ratio3)/2^4)-(TRUNC(SUM(_rddqs_ratio3*2^10,_rddqs_ratio3)/2^36)*2^32),8)</definedName>
    <definedName name="_emif1_ext_phy_ctrl_7_val_vayu" comment="Register_SOC-Vayu**********OFFSET: 0x00000230" localSheetId="7" hidden="1">DEC2HEX(SUM(GEL!_rddqs_ratio0*2^16,GEL!_rddqs_ratio0),8)</definedName>
    <definedName name="_emif1_ext_phy_ctrl_7_val_vayu" comment="Register_SOC-Vayu**********OFFSET: 0x00000230" localSheetId="9" hidden="1">DEC2HEX(SUM(RTOS!_rddqs_ratio0*2^16,RTOS!_rddqs_ratio0),8)</definedName>
    <definedName name="_emif1_ext_phy_ctrl_7_val_vayu" comment="Register_SOC-Vayu**********OFFSET: 0x00000230" localSheetId="5" hidden="1">DEC2HEX(SUM('VREF (LPDDR4)'!_rddqs_ratio0*2^16,'VREF (LPDDR4)'!_rddqs_ratio0),8)</definedName>
    <definedName name="_emif1_ext_phy_ctrl_7_val_vayu" comment="Register_SOC-Vayu**********OFFSET: 0x00000230" hidden="1">DEC2HEX(SUM(_rddqs_ratio0*2^16,_rddqs_ratio0),8)</definedName>
    <definedName name="_emif1_ext_phy_ctrl_8_val_omap5" comment="Register_SOC-OMAP5*****OFFSET: 0x00000238*****INTERNAL ONLY" hidden="1">DEC2HEX(SUM(_wrdata_ratio1_ch1_cs1*2^30,_wrdata_ratio1_ch1_cs0*2^20,_wrdata_ratio0_ch1_cs1*2^10,_wrdata_ratio0_ch1_cs0)-(TRUNC(SUM(_wrdata_ratio1_ch1_cs1*2^30,_wrdata_ratio1_ch1_cs0*2^20,_wrdata_ratio0_ch1_cs1*2^10,_wrdata_ratio0_ch1_cs0)/2^32)*2^32),8)</definedName>
    <definedName name="_emif1_ext_phy_ctrl_8_val_vayu" comment="Register_SOC-Vayu**********OFFSET: 0x00000238" localSheetId="7" hidden="1">DEC2HEX(SUM(GEL!_rddqs_ratio1*2^16,GEL!_rddqs_ratio1),8)</definedName>
    <definedName name="_emif1_ext_phy_ctrl_8_val_vayu" comment="Register_SOC-Vayu**********OFFSET: 0x00000238" localSheetId="9" hidden="1">DEC2HEX(SUM(RTOS!_rddqs_ratio1*2^16,RTOS!_rddqs_ratio1),8)</definedName>
    <definedName name="_emif1_ext_phy_ctrl_8_val_vayu" comment="Register_SOC-Vayu**********OFFSET: 0x00000238" localSheetId="5" hidden="1">DEC2HEX(SUM('VREF (LPDDR4)'!_rddqs_ratio1*2^16,'VREF (LPDDR4)'!_rddqs_ratio1),8)</definedName>
    <definedName name="_emif1_ext_phy_ctrl_8_val_vayu" comment="Register_SOC-Vayu**********OFFSET: 0x00000238" hidden="1">DEC2HEX(SUM(_rddqs_ratio1*2^16,_rddqs_ratio1),8)</definedName>
    <definedName name="_emif1_ext_phy_ctrl_9_val_omap5" comment="Register_SOC-OMAP5*****OFFSET: 0x00000240*****INTERNAL ONLY" hidden="1">DEC2HEX(TRUNC(SUM(_wrdata_ratio3_ch1_cs0*2^30,_wrdata_ratio2_ch1_cs1*2^20,_wrdata_ratio2_ch1_cs0*2^10,_wrdata_ratio1_ch1_cs1)/2^2)-(TRUNC(SUM(_wrdata_ratio3_ch1_cs0*2^30,_wrdata_ratio2_ch1_cs1*2^20,_wrdata_ratio2_ch1_cs0*2^10,_wrdata_ratio1_ch1_cs1)/2^34)*2^32),8)</definedName>
    <definedName name="_emif1_ext_phy_ctrl_9_val_vayu" comment="Register_SOC-Vayu**********OFFSET: 0x00000240" localSheetId="7" hidden="1">DEC2HEX(SUM(GEL!_rddqs_ratio2*2^16,GEL!_rddqs_ratio2),8)</definedName>
    <definedName name="_emif1_ext_phy_ctrl_9_val_vayu" comment="Register_SOC-Vayu**********OFFSET: 0x00000240" localSheetId="9" hidden="1">DEC2HEX(SUM(RTOS!_rddqs_ratio2*2^16,RTOS!_rddqs_ratio2),8)</definedName>
    <definedName name="_emif1_ext_phy_ctrl_9_val_vayu" comment="Register_SOC-Vayu**********OFFSET: 0x00000240" localSheetId="5" hidden="1">DEC2HEX(SUM('VREF (LPDDR4)'!_rddqs_ratio2*2^16,'VREF (LPDDR4)'!_rddqs_ratio2),8)</definedName>
    <definedName name="_emif1_ext_phy_ctrl_9_val_vayu" comment="Register_SOC-Vayu**********OFFSET: 0x00000240" hidden="1">DEC2HEX(SUM(_rddqs_ratio2*2^16,_rddqs_ratio2),8)</definedName>
    <definedName name="_EMIF2_EXT_PHY_CTRL_1_VAL" comment="Register*****OFFSET: 0x00000200*****OMAP5 has different PHY register def than AVATAR" localSheetId="7" hidden="1">#N/A</definedName>
    <definedName name="_EMIF2_EXT_PHY_CTRL_1_VAL" comment="Register*****OFFSET: 0x00000200*****OMAP5 has different PHY register def than AVATAR" localSheetId="9" hidden="1">#N/A</definedName>
    <definedName name="_EMIF2_EXT_PHY_CTRL_1_VAL" comment="Register*****OFFSET: 0x00000200*****OMAP5 has different PHY register def than AVATAR" localSheetId="5" hidden="1">#N/A</definedName>
    <definedName name="_EMIF2_EXT_PHY_CTRL_1_VAL" comment="Register*****OFFSET: 0x00000200*****OMAP5 has different PHY register def than AVATAR" hidden="1">CHOOSE(MATCH('Title-README'!_soc_name,'Title-README'!_soc_names,0),_emif2_ext_phy_ctrl_1_val_omap5,_emif2_ext_phy_ctrl_1_val_vayu,_emif2_ext_phy_ctrl_1_val_vayu,_emif2_ext_phy_ctrl_1_val_vayu)</definedName>
    <definedName name="_emif2_ext_phy_ctrl_1_val_omap5" comment="Register_SOC-OMAP5*****OFFSET: 0x00000200*****INTERNAL ONLY" hidden="1">DEC2HEX(SUM(_ctrl_ratio2*2^20,_ctrl_ratio1*2^10,_ctrl_ratio0),8)</definedName>
    <definedName name="_emif2_ext_phy_ctrl_1_val_vayu" comment="Register_SOC-Vayu**********OFFSET: 0x00000200" hidden="1">DEC2HEX(SUM(_ctrl_ratio2*2^20,_ctrl_ratio1*2^10,_ctrl_ratio0),8)</definedName>
    <definedName name="_EMIF2_EXT_PHY_CTRL_10_VAL" comment="Register*****OFFSET: 0x00000248*****OMAP5 has different PHY register def than AVATAR" localSheetId="7" hidden="1">#N/A</definedName>
    <definedName name="_EMIF2_EXT_PHY_CTRL_10_VAL" comment="Register*****OFFSET: 0x00000248*****OMAP5 has different PHY register def than AVATAR" localSheetId="9" hidden="1">#N/A</definedName>
    <definedName name="_EMIF2_EXT_PHY_CTRL_10_VAL" comment="Register*****OFFSET: 0x00000248*****OMAP5 has different PHY register def than AVATAR" localSheetId="5" hidden="1">#N/A</definedName>
    <definedName name="_EMIF2_EXT_PHY_CTRL_10_VAL" comment="Register*****OFFSET: 0x00000248*****OMAP5 has different PHY register def than AVATAR" hidden="1">CHOOSE(MATCH('Title-README'!_soc_name,'Title-README'!_soc_names,0),_emif2_ext_phy_ctrl_10_val_omap5,_emif2_ext_phy_ctrl_10_val_vayu,_emif2_ext_phy_ctrl_10_val_vayu,_emif2_ext_phy_ctrl_10_val_vayu)</definedName>
    <definedName name="_emif2_ext_phy_ctrl_10_val_omap5" comment="Register_SOC-OMAP5*****OFFSET: 0x00000248*****INTERNAL ONLY" hidden="1">DEC2HEX(TRUNC(SUM(_wrdata_ratio3_ch2_cs1*2^10,_wrdata_ratio3_ch2_cs0)/2^4)-(TRUNC(SUM(_wrdata_ratio3_ch2_cs1*2^10,_wrdata_ratio3_ch2_cs0)/2^36)*2^32),8)</definedName>
    <definedName name="_emif2_ext_phy_ctrl_10_val_vayu" comment="Register_SOC-Vayu**********OFFSET: 0x00000248" localSheetId="7" hidden="1">DEC2HEX(SUM(GEL!_rddqs_ratio3*2^16,GEL!_rddqs_ratio3),8)</definedName>
    <definedName name="_emif2_ext_phy_ctrl_10_val_vayu" comment="Register_SOC-Vayu**********OFFSET: 0x00000248" localSheetId="9" hidden="1">DEC2HEX(SUM(RTOS!_rddqs_ratio3*2^16,RTOS!_rddqs_ratio3),8)</definedName>
    <definedName name="_emif2_ext_phy_ctrl_10_val_vayu" comment="Register_SOC-Vayu**********OFFSET: 0x00000248" localSheetId="5" hidden="1">DEC2HEX(SUM('VREF (LPDDR4)'!_rddqs_ratio3*2^16,'VREF (LPDDR4)'!_rddqs_ratio3),8)</definedName>
    <definedName name="_emif2_ext_phy_ctrl_10_val_vayu" comment="Register_SOC-Vayu**********OFFSET: 0x00000248" hidden="1">DEC2HEX(SUM(_rddqs_ratio3*2^16,_rddqs_ratio3),8)</definedName>
    <definedName name="_EMIF2_EXT_PHY_CTRL_11_VAL" comment="Register*****OFFSET: 0x00000250*****OMAP5 has different PHY register def than AVATAR" localSheetId="7" hidden="1">#N/A</definedName>
    <definedName name="_EMIF2_EXT_PHY_CTRL_11_VAL" comment="Register*****OFFSET: 0x00000250*****OMAP5 has different PHY register def than AVATAR" localSheetId="9" hidden="1">#N/A</definedName>
    <definedName name="_EMIF2_EXT_PHY_CTRL_11_VAL" comment="Register*****OFFSET: 0x00000250*****OMAP5 has different PHY register def than AVATAR" localSheetId="5" hidden="1">#N/A</definedName>
    <definedName name="_EMIF2_EXT_PHY_CTRL_11_VAL" comment="Register*****OFFSET: 0x00000250*****OMAP5 has different PHY register def than AVATAR" hidden="1">CHOOSE(MATCH('Title-README'!_soc_name,'Title-README'!_soc_names,0),_emif2_ext_phy_ctrl_11_val_omap5,_emif2_ext_phy_ctrl_11_val_vayu,_emif2_ext_phy_ctrl_11_val_vayu,_emif2_ext_phy_ctrl_11_val_vayu)</definedName>
    <definedName name="_emif2_ext_phy_ctrl_11_val_omap5" comment="Register_SOC-OMAP5*****OFFSET: 0x00000250*****INTERNAL ONLY" hidden="1">DEC2HEX(SUM(_wrdqs_ratio1_ch2_cs1*2^30,_wrdqs_ratio1_ch2_cs0*2^20,_wrdqs_ratio0_ch2_cs1*2^10,_wrdqs_ratio0_ch2_cs0)-(TRUNC(SUM(_wrdqs_ratio1_ch2_cs1*2^30,_wrdqs_ratio1_ch2_cs0*2^20,_wrdqs_ratio0_ch2_cs1*2^10,_wrdqs_ratio0_ch2_cs0)/2^32)*2^32),8)</definedName>
    <definedName name="_emif2_ext_phy_ctrl_11_val_vayu" comment="Register_SOC-Vayu**********OFFSET: 0x00000250" localSheetId="7" hidden="1">DEC2HEX(SUM(GEL!_rddqs_ratio4*2^16,GEL!_rddqs_ratio4),8)</definedName>
    <definedName name="_emif2_ext_phy_ctrl_11_val_vayu" comment="Register_SOC-Vayu**********OFFSET: 0x00000250" localSheetId="9" hidden="1">DEC2HEX(SUM(RTOS!_rddqs_ratio4*2^16,RTOS!_rddqs_ratio4),8)</definedName>
    <definedName name="_emif2_ext_phy_ctrl_11_val_vayu" comment="Register_SOC-Vayu**********OFFSET: 0x00000250" localSheetId="5" hidden="1">DEC2HEX(SUM('VREF (LPDDR4)'!_rddqs_ratio4*2^16,'VREF (LPDDR4)'!_rddqs_ratio4),8)</definedName>
    <definedName name="_emif2_ext_phy_ctrl_11_val_vayu" comment="Register_SOC-Vayu**********OFFSET: 0x00000250" hidden="1">DEC2HEX(SUM(_rddqs_ratio4*2^16,_rddqs_ratio4),8)</definedName>
    <definedName name="_EMIF2_EXT_PHY_CTRL_12_VAL" comment="Register*****OFFSET: 0x00000258*****OMAP5 has different PHY register def than AVATAR" localSheetId="7" hidden="1">#N/A</definedName>
    <definedName name="_EMIF2_EXT_PHY_CTRL_12_VAL" comment="Register*****OFFSET: 0x00000258*****OMAP5 has different PHY register def than AVATAR" localSheetId="9" hidden="1">#N/A</definedName>
    <definedName name="_EMIF2_EXT_PHY_CTRL_12_VAL" comment="Register*****OFFSET: 0x00000258*****OMAP5 has different PHY register def than AVATAR" localSheetId="5" hidden="1">#N/A</definedName>
    <definedName name="_EMIF2_EXT_PHY_CTRL_12_VAL" comment="Register*****OFFSET: 0x00000258*****OMAP5 has different PHY register def than AVATAR" hidden="1">CHOOSE(MATCH('Title-README'!_soc_name,'Title-README'!_soc_names,0),_emif2_ext_phy_ctrl_12_val_omap5,_emif2_ext_phy_ctrl_12_val_vayu,_emif2_ext_phy_ctrl_12_val_vayu,_emif2_ext_phy_ctrl_12_val_vayu)</definedName>
    <definedName name="_emif2_ext_phy_ctrl_12_val_omap5" comment="Register_SOC-OMAP5*****OFFSET: 0x00000258*****INTERNAL ONLY" hidden="1">DEC2HEX(TRUNC(SUM(_wrdqs_ratio3_ch2_cs0*2^30,_wrdqs_ratio2_ch2_cs1*2^20,_wrdqs_ratio2_ch2_cs0*2^10,_wrdqs_ratio1_ch2_cs1)/2^2)-(TRUNC(SUM(_wrdqs_ratio3_ch2_cs0*2^30,_wrdqs_ratio2_ch2_cs1*2^20,_wrdqs_ratio2_ch2_cs0*2^10,_wrdqs_ratio1_ch2_cs1)/2^34)*2^32),8)</definedName>
    <definedName name="_emif2_ext_phy_ctrl_12_val_vayu" comment="Register_SOC-Vayu**********OFFSET: 0x00000258" hidden="1">DEC2HEX(SUM(_wrdata_ratio0_ch2_cs1*2^16,_wrdata_ratio0_ch2_cs0),8)</definedName>
    <definedName name="_EMIF2_EXT_PHY_CTRL_13_VAL" comment="Register*****OFFSET: 0x00000260*****OMAP5 has different PHY register def than AVATAR" localSheetId="7" hidden="1">#N/A</definedName>
    <definedName name="_EMIF2_EXT_PHY_CTRL_13_VAL" comment="Register*****OFFSET: 0x00000260*****OMAP5 has different PHY register def than AVATAR" localSheetId="9" hidden="1">#N/A</definedName>
    <definedName name="_EMIF2_EXT_PHY_CTRL_13_VAL" comment="Register*****OFFSET: 0x00000260*****OMAP5 has different PHY register def than AVATAR" localSheetId="5" hidden="1">#N/A</definedName>
    <definedName name="_EMIF2_EXT_PHY_CTRL_13_VAL" comment="Register*****OFFSET: 0x00000260*****OMAP5 has different PHY register def than AVATAR" hidden="1">CHOOSE(MATCH('Title-README'!_soc_name,'Title-README'!_soc_names,0),_emif2_ext_phy_ctrl_13_val_omap5,_emif2_ext_phy_ctrl_13_val_vayu,_emif2_ext_phy_ctrl_13_val_vayu,_emif2_ext_phy_ctrl_13_val_vayu)</definedName>
    <definedName name="_emif2_ext_phy_ctrl_13_val_omap5" comment="Register_SOC-OMAP5*****OFFSET: 0x00000260*****INTERNAL ONLY" hidden="1">DEC2HEX(TRUNC(SUM(_wrdqs_ratio3_ch2_cs1*2^10,_wrdqs_ratio3_ch2_cs0)/2^4)-(TRUNC(SUM(_wrdqs_ratio3_ch2_cs1*2^10,_wrdqs_ratio3_ch2_cs0)/2^36)*2^32),8)</definedName>
    <definedName name="_emif2_ext_phy_ctrl_13_val_vayu" comment="Register_SOC-Vayu**********OFFSET: 0x00000260" hidden="1">DEC2HEX(SUM(_wrdata_ratio1_ch2_cs1*2^16,_wrdata_ratio1_ch2_cs0),8)</definedName>
    <definedName name="_EMIF2_EXT_PHY_CTRL_14_VAL" comment="Register*****OFFSET: 0x00000268*****OMAP5 has different PHY register def than AVATAR" localSheetId="7" hidden="1">#N/A</definedName>
    <definedName name="_EMIF2_EXT_PHY_CTRL_14_VAL" comment="Register*****OFFSET: 0x00000268*****OMAP5 has different PHY register def than AVATAR" localSheetId="9" hidden="1">#N/A</definedName>
    <definedName name="_EMIF2_EXT_PHY_CTRL_14_VAL" comment="Register*****OFFSET: 0x00000268*****OMAP5 has different PHY register def than AVATAR" localSheetId="5" hidden="1">#N/A</definedName>
    <definedName name="_EMIF2_EXT_PHY_CTRL_14_VAL" comment="Register*****OFFSET: 0x00000268*****OMAP5 has different PHY register def than AVATAR" hidden="1">CHOOSE(MATCH('Title-README'!_soc_name,'Title-README'!_soc_names,0),_emif2_ext_phy_ctrl_14_val_omap5,_emif2_ext_phy_ctrl_14_val_vayu,_emif2_ext_phy_ctrl_14_val_vayu,_emif2_ext_phy_ctrl_14_val_vayu)</definedName>
    <definedName name="_emif2_ext_phy_ctrl_14_val_omap5" comment="Register_SOC-OMAP5*****OFFSET: 0x00000268*****INTERNAL ONLY" hidden="1">DEC2HEX(SUM(_phy_rddqs_delay*2^24,_phy_fifowe_delay*2^12,_phy_ctrl_delay)-(TRUNC(SUM(_phy_rddqs_delay*2^24,_phy_fifowe_delay*2^12,_phy_ctrl_delay)/2^32)*2^32),8)</definedName>
    <definedName name="_emif2_ext_phy_ctrl_14_val_vayu" comment="Register_SOC-Vayu**********OFFSET: 0x00000268" hidden="1">DEC2HEX(SUM(_wrdata_ratio2_ch2_cs1*2^16,_wrdata_ratio2_ch2_cs0),8)</definedName>
    <definedName name="_EMIF2_EXT_PHY_CTRL_15_VAL" comment="Register*****OFFSET: 0x00000270*****OMAP5 has different PHY register def than AVATAR" localSheetId="7" hidden="1">#N/A</definedName>
    <definedName name="_EMIF2_EXT_PHY_CTRL_15_VAL" comment="Register*****OFFSET: 0x00000270*****OMAP5 has different PHY register def than AVATAR" localSheetId="9" hidden="1">#N/A</definedName>
    <definedName name="_EMIF2_EXT_PHY_CTRL_15_VAL" comment="Register*****OFFSET: 0x00000270*****OMAP5 has different PHY register def than AVATAR" localSheetId="5" hidden="1">#N/A</definedName>
    <definedName name="_EMIF2_EXT_PHY_CTRL_15_VAL" comment="Register*****OFFSET: 0x00000270*****OMAP5 has different PHY register def than AVATAR" hidden="1">CHOOSE(MATCH('Title-README'!_soc_name,'Title-README'!_soc_names,0),_emif2_ext_phy_ctrl_15_val_omap5,_emif2_ext_phy_ctrl_15_val_vayu,_emif2_ext_phy_ctrl_15_val_vayu,_emif2_ext_phy_ctrl_15_val_vayu)</definedName>
    <definedName name="_emif2_ext_phy_ctrl_15_val_omap5" comment="Register_SOC-OMAP5*****OFFSET: 0x00000270*****INTERNAL ONLY" hidden="1">DEC2HEX(TRUNC(SUM(_phy_wrdata_delay*2^24,_phy_wrdqs_delay*2^12,_phy_rddqs_delay)/2^8),8)</definedName>
    <definedName name="_emif2_ext_phy_ctrl_15_val_vayu" comment="Register_SOC-Vayu**********OFFSET: 0x00000270" hidden="1">DEC2HEX(SUM(_wrdata_ratio3_ch2_cs1*2^16,_wrdata_ratio3_ch2_cs0),8)</definedName>
    <definedName name="_EMIF2_EXT_PHY_CTRL_16_VAL" comment="Register*****OFFSET: 0x00000278*****OMAP5 has different PHY register def than AVATAR" localSheetId="7" hidden="1">#N/A</definedName>
    <definedName name="_EMIF2_EXT_PHY_CTRL_16_VAL" comment="Register*****OFFSET: 0x00000278*****OMAP5 has different PHY register def than AVATAR" localSheetId="9" hidden="1">#N/A</definedName>
    <definedName name="_EMIF2_EXT_PHY_CTRL_16_VAL" comment="Register*****OFFSET: 0x00000278*****OMAP5 has different PHY register def than AVATAR" localSheetId="5" hidden="1">#N/A</definedName>
    <definedName name="_EMIF2_EXT_PHY_CTRL_16_VAL" comment="Register*****OFFSET: 0x00000278*****OMAP5 has different PHY register def than AVATAR" hidden="1">CHOOSE(MATCH('Title-README'!_soc_name,'Title-README'!_soc_names,0),_emif2_ext_phy_ctrl_16_val_omap5,_emif2_ext_phy_ctrl_16_val_vayu,_emif2_ext_phy_ctrl_16_val_vayu,_emif2_ext_phy_ctrl_16_val_vayu)</definedName>
    <definedName name="_emif2_ext_phy_ctrl_16_val_omap5" comment="Register_SOC-OMAP5*****OFFSET: 0x00000278*****INTERNAL ONLY" hidden="1">DEC2HEX(SUM(_phy_dq_offset3*2^21,_phy_dq_offset2*2^14,_phy_dq_offset1*2^7,_phy_dq_offset0),8)</definedName>
    <definedName name="_emif2_ext_phy_ctrl_16_val_vayu" comment="Register_SOC-Vayu**********OFFSET: 0x00000278" hidden="1">DEC2HEX(SUM(_wrdata_ratio4_ch2_cs1*2^16,_wrdata_ratio4_ch2_cs0),8)</definedName>
    <definedName name="_EMIF2_EXT_PHY_CTRL_17_VAL" comment="Register*****OFFSET: 0x00000280*****OMAP5 has different PHY register def than AVATAR" localSheetId="7" hidden="1">#N/A</definedName>
    <definedName name="_EMIF2_EXT_PHY_CTRL_17_VAL" comment="Register*****OFFSET: 0x00000280*****OMAP5 has different PHY register def than AVATAR" localSheetId="9" hidden="1">#N/A</definedName>
    <definedName name="_EMIF2_EXT_PHY_CTRL_17_VAL" comment="Register*****OFFSET: 0x00000280*****OMAP5 has different PHY register def than AVATAR" localSheetId="5" hidden="1">#N/A</definedName>
    <definedName name="_EMIF2_EXT_PHY_CTRL_17_VAL" comment="Register*****OFFSET: 0x00000280*****OMAP5 has different PHY register def than AVATAR" hidden="1">CHOOSE(MATCH('Title-README'!_soc_name,'Title-README'!_soc_names,0),_emif2_ext_phy_ctrl_17_val_omap5,_emif2_ext_phy_ctrl_17_val_vayu,_emif2_ext_phy_ctrl_17_val_vayu,_emif2_ext_phy_ctrl_17_val_vayu)</definedName>
    <definedName name="_emif2_ext_phy_ctrl_17_val_omap5" comment="Register_SOC-OMAP5*****OFFSET: 0x00000280*****INTERNAL ONLY" hidden="1">DEC2HEX(SUM(_phy_gatelvl_init_mode*2^1,_phy_use_rank0_delays),8)</definedName>
    <definedName name="_emif2_ext_phy_ctrl_17_val_vayu" comment="Register_SOC-Vayu**********OFFSET: 0x00000280" hidden="1">DEC2HEX(SUM(_wrdqs_ratio0_ch2_cs1*2^16,_wrdqs_ratio0_ch2_cs0),8)</definedName>
    <definedName name="_EMIF2_EXT_PHY_CTRL_18_VAL" comment="Register*****OFFSET: 0x00000288*****OMAP5 has different PHY register def than AVATAR" localSheetId="7" hidden="1">#N/A</definedName>
    <definedName name="_EMIF2_EXT_PHY_CTRL_18_VAL" comment="Register*****OFFSET: 0x00000288*****OMAP5 has different PHY register def than AVATAR" localSheetId="9" hidden="1">#N/A</definedName>
    <definedName name="_EMIF2_EXT_PHY_CTRL_18_VAL" comment="Register*****OFFSET: 0x00000288*****OMAP5 has different PHY register def than AVATAR" localSheetId="5" hidden="1">#N/A</definedName>
    <definedName name="_EMIF2_EXT_PHY_CTRL_18_VAL" comment="Register*****OFFSET: 0x00000288*****OMAP5 has different PHY register def than AVATAR" hidden="1">CHOOSE(MATCH('Title-README'!_soc_name,'Title-README'!_soc_names,0),_emif2_ext_phy_ctrl_18_val_omap5,_emif2_ext_phy_ctrl_18_val_vayu,_emif2_ext_phy_ctrl_18_val_vayu,_emif2_ext_phy_ctrl_18_val_vayu)</definedName>
    <definedName name="_emif2_ext_phy_ctrl_18_val_omap5" comment="Register_SOC-OMAP5*****OFFSET: 0x00000288*****INTERNAL ONLY" hidden="1">DEC2HEX(SUM(_fifowe_init1_ch2_cs0*2^22,_fifowe_init0_ch2_cs1*2^11,_fifowe_init0_ch2_cs0)-(TRUNC(SUM(_fifowe_init1_ch2_cs0*2^22,_fifowe_init0_ch2_cs1*2^11,_fifowe_init0_ch2_cs0)/2^32)*2^32),8)</definedName>
    <definedName name="_emif2_ext_phy_ctrl_18_val_vayu" comment="Register_SOC-Vayu**********OFFSET: 0x00000288" hidden="1">DEC2HEX(SUM(_wrdqs_ratio1_ch2_cs1*2^16,_wrdqs_ratio1_ch2_cs0),8)</definedName>
    <definedName name="_EMIF2_EXT_PHY_CTRL_19_VAL" comment="Register*****OFFSET: 0x00000290*****OMAP5 has different PHY register def than AVATAR" localSheetId="7" hidden="1">#N/A</definedName>
    <definedName name="_EMIF2_EXT_PHY_CTRL_19_VAL" comment="Register*****OFFSET: 0x00000290*****OMAP5 has different PHY register def than AVATAR" localSheetId="9" hidden="1">#N/A</definedName>
    <definedName name="_EMIF2_EXT_PHY_CTRL_19_VAL" comment="Register*****OFFSET: 0x00000290*****OMAP5 has different PHY register def than AVATAR" localSheetId="5" hidden="1">#N/A</definedName>
    <definedName name="_EMIF2_EXT_PHY_CTRL_19_VAL" comment="Register*****OFFSET: 0x00000290*****OMAP5 has different PHY register def than AVATAR" hidden="1">CHOOSE(MATCH('Title-README'!_soc_name,'Title-README'!_soc_names,0),_emif2_ext_phy_ctrl_19_val_omap5,_emif2_ext_phy_ctrl_19_val_vayu,_emif2_ext_phy_ctrl_19_val_vayu,_emif2_ext_phy_ctrl_19_val_vayu)</definedName>
    <definedName name="_emif2_ext_phy_ctrl_19_val_omap5" comment="Register_SOC-OMAP5*****OFFSET: 0x00000290*****INTERNAL ONLY" hidden="1">DEC2HEX(TRUNC(SUM(_fifowe_init2_ch2_cs1*2^33,_fifowe_init2_ch2_cs0*2^22,_fifowe_init1_ch2_cs1*2^11,_fifowe_init1_ch2_cs0)/2^10)-(TRUNC(SUM(_fifowe_init2_ch2_cs1*2^33,_fifowe_init2_ch2_cs0*2^22,_fifowe_init1_ch2_cs1*2^11,_fifowe_init1_ch2_cs0)/2^42)*2^32),8)</definedName>
    <definedName name="_emif2_ext_phy_ctrl_19_val_vayu" comment="Register_SOC-Vayu**********OFFSET: 0x00000290" hidden="1">DEC2HEX(SUM(_wrdqs_ratio2_ch2_cs1*2^16,_wrdqs_ratio2_ch2_cs0),8)</definedName>
    <definedName name="_EMIF2_EXT_PHY_CTRL_2_VAL" comment="Register*****OFFSET: 0x00000208*****OMAP5 has different PHY register def than AVATAR" localSheetId="7" hidden="1">#N/A</definedName>
    <definedName name="_EMIF2_EXT_PHY_CTRL_2_VAL" comment="Register*****OFFSET: 0x00000208*****OMAP5 has different PHY register def than AVATAR" localSheetId="9" hidden="1">#N/A</definedName>
    <definedName name="_EMIF2_EXT_PHY_CTRL_2_VAL" comment="Register*****OFFSET: 0x00000208*****OMAP5 has different PHY register def than AVATAR" localSheetId="5" hidden="1">#N/A</definedName>
    <definedName name="_EMIF2_EXT_PHY_CTRL_2_VAL" comment="Register*****OFFSET: 0x00000208*****OMAP5 has different PHY register def than AVATAR" hidden="1">CHOOSE(MATCH('Title-README'!_soc_name,'Title-README'!_soc_names,0),_emif2_ext_phy_ctrl_2_val_omap5,_emif2_ext_phy_ctrl_2_val_vayu,_emif2_ext_phy_ctrl_2_val_vayu,_emif2_ext_phy_ctrl_2_val_vayu)</definedName>
    <definedName name="_emif2_ext_phy_ctrl_2_val_omap5" comment="Register_SOC-OMAP5*****OFFSET: 0x00000208*****INTERNAL ONLY" hidden="1">DEC2HEX(SUM(_fifowe_ratio1_ch2_cs0*2^22,_fifowe_ratio0_ch2_cs1*2^11,_fifowe_ratio0_ch2_cs0)-(TRUNC(SUM(_fifowe_ratio1_ch2_cs0*2^22,_fifowe_ratio0_ch2_cs1*2^11,_fifowe_ratio0_ch2_cs0)/2^32)*2^32),8)</definedName>
    <definedName name="_emif2_ext_phy_ctrl_2_val_vayu" comment="Register_SOC-Vayu**********OFFSET: 0x00000208" hidden="1">DEC2HEX(SUM(_fifowe_ratio0_ch2_cs1*2^16,_fifowe_ratio0_ch2_cs0),8)</definedName>
    <definedName name="_EMIF2_EXT_PHY_CTRL_20_VAL" comment="Register*****OFFSET: 0x00000298*****OMAP5 has different PHY register def than AVATAR" localSheetId="7" hidden="1">#N/A</definedName>
    <definedName name="_EMIF2_EXT_PHY_CTRL_20_VAL" comment="Register*****OFFSET: 0x00000298*****OMAP5 has different PHY register def than AVATAR" localSheetId="9" hidden="1">#N/A</definedName>
    <definedName name="_EMIF2_EXT_PHY_CTRL_20_VAL" comment="Register*****OFFSET: 0x00000298*****OMAP5 has different PHY register def than AVATAR" localSheetId="5" hidden="1">#N/A</definedName>
    <definedName name="_EMIF2_EXT_PHY_CTRL_20_VAL" comment="Register*****OFFSET: 0x00000298*****OMAP5 has different PHY register def than AVATAR" hidden="1">CHOOSE(MATCH('Title-README'!_soc_name,'Title-README'!_soc_names,0),_emif2_ext_phy_ctrl_20_val_omap5,_emif2_ext_phy_ctrl_20_val_vayu,_emif2_ext_phy_ctrl_20_val_vayu,_emif2_ext_phy_ctrl_20_val_vayu)</definedName>
    <definedName name="_emif2_ext_phy_ctrl_20_val_omap5" comment="Register_SOC-OMAP5*****OFFSET: 0x00000298*****INTERNAL ONLY" hidden="1">DEC2HEX(TRUNC(SUM(_fifowe_init3_ch2_cs1*2^22,_fifowe_init3_ch2_cs0*2^11,_fifowe_init2_ch2_cs1)/2^9)-(TRUNC(SUM(_fifowe_init3_ch2_cs1*2^22,_fifowe_init3_ch2_cs0*2^11,_fifowe_init2_ch2_cs1)/2^41)*2^32),8)</definedName>
    <definedName name="_emif2_ext_phy_ctrl_20_val_vayu" comment="Register_SOC-Vayu**********OFFSET: 0x00000298" hidden="1">DEC2HEX(SUM(_wrdqs_ratio3_ch2_cs1*2^16,_wrdqs_ratio3_ch2_cs0),8)</definedName>
    <definedName name="_EMIF2_EXT_PHY_CTRL_21_VAL" comment="Register*****OFFSET: 0x000002A0*****OMAP5 has different PHY register def than AVATAR" localSheetId="7" hidden="1">#N/A</definedName>
    <definedName name="_EMIF2_EXT_PHY_CTRL_21_VAL" comment="Register*****OFFSET: 0x000002A0*****OMAP5 has different PHY register def than AVATAR" localSheetId="9" hidden="1">#N/A</definedName>
    <definedName name="_EMIF2_EXT_PHY_CTRL_21_VAL" comment="Register*****OFFSET: 0x000002A0*****OMAP5 has different PHY register def than AVATAR" localSheetId="5" hidden="1">#N/A</definedName>
    <definedName name="_EMIF2_EXT_PHY_CTRL_21_VAL" comment="Register*****OFFSET: 0x000002A0*****OMAP5 has different PHY register def than AVATAR" hidden="1">CHOOSE(MATCH('Title-README'!_soc_name,'Title-README'!_soc_names,0),_emif2_ext_phy_ctrl_21_val_omap5,_emif2_ext_phy_ctrl_21_val_vayu,_emif2_ext_phy_ctrl_21_val_vayu,_emif2_ext_phy_ctrl_21_val_vayu)</definedName>
    <definedName name="_emif2_ext_phy_ctrl_21_val_omap5" comment="Register_SOC-OMAP5*****OFFSET: 0x000002A0*****INTERNAL ONLY" hidden="1">DEC2HEX(SUM(_wrdqs_init1_ch2_cs1*2^30,_wrdqs_init1_ch2_cs0*2^20,_wrdqs_init0_ch2_cs1*2^10,_wrdqs_init0_ch2_cs0)-(TRUNC(SUM(_wrdqs_init1_ch2_cs1*2^30,_wrdqs_init1_ch2_cs0*2^20,_wrdqs_init0_ch2_cs1*2^10,_wrdqs_init0_ch2_cs0)/2^32)*2^32),8)</definedName>
    <definedName name="_emif2_ext_phy_ctrl_21_val_vayu" comment="Register_SOC-Vayu**********OFFSET: 0x000002A0" hidden="1">DEC2HEX(SUM(_wrdqs_ratio4_ch2_cs1*2^16,_wrdqs_ratio4_ch2_cs0),8)</definedName>
    <definedName name="_EMIF2_EXT_PHY_CTRL_22_VAL" comment="Register*****OFFSET: 0x000002A8*****OMAP5 has different PHY register def than AVATAR" localSheetId="7" hidden="1">#N/A</definedName>
    <definedName name="_EMIF2_EXT_PHY_CTRL_22_VAL" comment="Register*****OFFSET: 0x000002A8*****OMAP5 has different PHY register def than AVATAR" localSheetId="9" hidden="1">#N/A</definedName>
    <definedName name="_EMIF2_EXT_PHY_CTRL_22_VAL" comment="Register*****OFFSET: 0x000002A8*****OMAP5 has different PHY register def than AVATAR" localSheetId="5" hidden="1">#N/A</definedName>
    <definedName name="_EMIF2_EXT_PHY_CTRL_22_VAL" comment="Register*****OFFSET: 0x000002A8*****OMAP5 has different PHY register def than AVATAR" hidden="1">CHOOSE(MATCH('Title-README'!_soc_name,'Title-README'!_soc_names,0),_emif2_ext_phy_ctrl_22_val_omap5,_emif2_ext_phy_ctrl_22_val_vayu,_emif2_ext_phy_ctrl_22_val_vayu,_emif2_ext_phy_ctrl_22_val_vayu)</definedName>
    <definedName name="_emif2_ext_phy_ctrl_22_val_omap5" comment="Register_SOC-OMAP5*****OFFSET: 0x000002A8*****INTERNAL ONLY" hidden="1">DEC2HEX(TRUNC(SUM(_wrdqs_init3_ch2_cs0*2^30,_wrdqs_init2_ch2_cs1*2^20,_wrdqs_init2_ch2_cs0*2^10,_wrdqs_init1_ch2_cs1)/2^2)-(TRUNC(SUM(_wrdqs_init3_ch2_cs0*2^30,_wrdqs_init2_ch2_cs1*2^20,_wrdqs_init2_ch2_cs0*2^10,_wrdqs_init1_ch2_cs1)/2^34)*2^32),8)</definedName>
    <definedName name="_emif2_ext_phy_ctrl_22_val_vayu" comment="Register_SOC-Vayu**********OFFSET: 0x000002A8" hidden="1">DEC2HEX(SUM(_phy_fifowe_delay*2^16,_phy_ctrl_delay),8)</definedName>
    <definedName name="_EMIF2_EXT_PHY_CTRL_23_VAL" comment="Register*****OFFSET: 0x000002B0*****OMAP5 has different PHY register def than AVATAR" localSheetId="7" hidden="1">#N/A</definedName>
    <definedName name="_EMIF2_EXT_PHY_CTRL_23_VAL" comment="Register*****OFFSET: 0x000002B0*****OMAP5 has different PHY register def than AVATAR" localSheetId="9" hidden="1">#N/A</definedName>
    <definedName name="_EMIF2_EXT_PHY_CTRL_23_VAL" comment="Register*****OFFSET: 0x000002B0*****OMAP5 has different PHY register def than AVATAR" localSheetId="5" hidden="1">#N/A</definedName>
    <definedName name="_EMIF2_EXT_PHY_CTRL_23_VAL" comment="Register*****OFFSET: 0x000002B0*****OMAP5 has different PHY register def than AVATAR" hidden="1">CHOOSE(MATCH('Title-README'!_soc_name,'Title-README'!_soc_names,0),_emif2_ext_phy_ctrl_23_val_omap5,_emif2_ext_phy_ctrl_23_val_vayu,_emif2_ext_phy_ctrl_23_val_vayu,_emif2_ext_phy_ctrl_23_val_vayu)</definedName>
    <definedName name="_emif2_ext_phy_ctrl_23_val_omap5" comment="Register_SOC-OMAP5*****OFFSET: 0x000002B0*****INTERNAL ONLY" hidden="1">DEC2HEX(TRUNC(SUM(_wrdqs_init3_ch2_cs1*2^10,_wrdqs_init3_ch2_cs0)/2^4)-(TRUNC(SUM(_wrdqs_init3_ch2_cs1*2^10,_wrdqs_init3_ch2_cs0)/2^36)*2^32),8)</definedName>
    <definedName name="_emif2_ext_phy_ctrl_23_val_vayu" comment="Register_SOC-Vayu**********OFFSET: 0x000002B0" hidden="1">DEC2HEX(SUM(_phy_wrdqs_delay*2^16,_phy_rddqs_delay),8)</definedName>
    <definedName name="_EMIF2_EXT_PHY_CTRL_24_VAL" comment="Register*****OFFSET: 0x000002B8*****OMAP5 has different PHY register def than AVATAR" localSheetId="7" hidden="1">#N/A</definedName>
    <definedName name="_EMIF2_EXT_PHY_CTRL_24_VAL" comment="Register*****OFFSET: 0x000002B8*****OMAP5 has different PHY register def than AVATAR" localSheetId="9" hidden="1">#N/A</definedName>
    <definedName name="_EMIF2_EXT_PHY_CTRL_24_VAL" comment="Register*****OFFSET: 0x000002B8*****OMAP5 has different PHY register def than AVATAR" localSheetId="5" hidden="1">#N/A</definedName>
    <definedName name="_EMIF2_EXT_PHY_CTRL_24_VAL" comment="Register*****OFFSET: 0x000002B8*****OMAP5 has different PHY register def than AVATAR" hidden="1">CHOOSE(MATCH('Title-README'!_soc_name,'Title-README'!_soc_names,0),_emif2_ext_phy_ctrl_24_val_omap5,_emif2_ext_phy_ctrl_24_val_vayu,_emif2_ext_phy_ctrl_24_val_vayu,_emif2_ext_phy_ctrl_24_val_vayu)</definedName>
    <definedName name="_emif2_ext_phy_ctrl_24_val_omap5" comment="Register_SOC-OMAP5*****OFFSET: 0x000002B8*****INTERNAL ONLY" hidden="1">DEC2HEX(SUM(_phy_wrlvl_num_dq0*2^4,_phy_gatelvl_num_dq0),8)</definedName>
    <definedName name="_emif2_ext_phy_ctrl_24_val_vayu" comment="Register_SOC-Vayu**********OFFSET: 0x000002B8" hidden="1">DEC2HEX(SUM(_phy_dq_offset4*2^24,_phy_gatelvl_init_mode*2^16,_phy_use_rank0_delays*2^12,_phy_wrdata_delay),8)</definedName>
    <definedName name="_EMIF2_EXT_PHY_CTRL_25_VAL" comment="Register*****OFFSET: 0x000002C0*****AVATAR ONLY" hidden="1">DEC2HEX(SUM(_phy_dq_offset3*2^21,_phy_dq_offset2*2^14,_phy_dq_offset1*2^7,_phy_dq_offset0),8)</definedName>
    <definedName name="_EMIF2_EXT_PHY_CTRL_26_VAL" comment="Register*****OFFSET: 0x000002C8*****AVATAR ONLY" hidden="1">DEC2HEX(SUM(_fifowe_init0_ch2_cs1*2^16,_fifowe_init0_ch2_cs0),8)</definedName>
    <definedName name="_EMIF2_EXT_PHY_CTRL_27_VAL" comment="Register*****OFFSET: 0x000002D0*****AVATAR ONLY" hidden="1">DEC2HEX(SUM(_fifowe_init1_ch2_cs1*2^16,_fifowe_init1_ch2_cs0),8)</definedName>
    <definedName name="_EMIF2_EXT_PHY_CTRL_28_VAL" comment="Register*****OFFSET: 0x000002D8*****AVATAR ONLY" hidden="1">DEC2HEX(SUM(_fifowe_init2_ch2_cs1*2^16,_fifowe_init2_ch2_cs0),8)</definedName>
    <definedName name="_EMIF2_EXT_PHY_CTRL_29_VAL" comment="Register*****OFFSET: 0x000002E0*****AVATAR ONLY" hidden="1">DEC2HEX(SUM(_fifowe_init3_ch2_cs1*2^16,_fifowe_init3_ch2_cs0),8)</definedName>
    <definedName name="_EMIF2_EXT_PHY_CTRL_3_VAL" comment="Register*****OFFSET: 0x00000210*****OMAP5 has different PHY register def than AVATAR" localSheetId="7" hidden="1">#N/A</definedName>
    <definedName name="_EMIF2_EXT_PHY_CTRL_3_VAL" comment="Register*****OFFSET: 0x00000210*****OMAP5 has different PHY register def than AVATAR" localSheetId="9" hidden="1">#N/A</definedName>
    <definedName name="_EMIF2_EXT_PHY_CTRL_3_VAL" comment="Register*****OFFSET: 0x00000210*****OMAP5 has different PHY register def than AVATAR" localSheetId="5" hidden="1">#N/A</definedName>
    <definedName name="_EMIF2_EXT_PHY_CTRL_3_VAL" comment="Register*****OFFSET: 0x00000210*****OMAP5 has different PHY register def than AVATAR" hidden="1">CHOOSE(MATCH('Title-README'!_soc_name,'Title-README'!_soc_names,0),_emif2_ext_phy_ctrl_3_val_omap5,_emif2_ext_phy_ctrl_3_val_vayu,_emif2_ext_phy_ctrl_3_val_vayu,_emif2_ext_phy_ctrl_3_val_vayu)</definedName>
    <definedName name="_emif2_ext_phy_ctrl_3_val_omap5" comment="Register_SOC-OMAP5*****OFFSET: 0x00000210*****INTERNAL ONLY" hidden="1">DEC2HEX(TRUNC(SUM(_fifowe_ratio2_ch2_cs1*2^33,_fifowe_ratio2_ch2_cs0*2^22,_fifowe_ratio1_ch2_cs1*2^11,_fifowe_ratio1_ch2_cs0)/2^10)-(TRUNC(SUM(_fifowe_ratio2_ch2_cs1*2^33,_fifowe_ratio2_ch2_cs0*2^22,_fifowe_ratio1_ch2_cs1*2^11,_fifowe_ratio1_ch2_cs0)/2^42)*2^32),8)</definedName>
    <definedName name="_emif2_ext_phy_ctrl_3_val_vayu" comment="Register_SOC-Vayu**********OFFSET: 0x00000210" hidden="1">DEC2HEX(SUM(_fifowe_ratio1_ch2_cs1*2^16,_fifowe_ratio1_ch2_cs0),8)</definedName>
    <definedName name="_EMIF2_EXT_PHY_CTRL_30_VAL" comment="Register*****OFFSET: 0x000002E8*****AVATAR ONLY" hidden="1">DEC2HEX(SUM(_fifowe_init4_ch2_cs1*2^16,_fifowe_init4_ch2_cs0),8)</definedName>
    <definedName name="_EMIF2_EXT_PHY_CTRL_31_VAL" comment="Register*****OFFSET: 0x000002F0*****AVATAR ONLY" hidden="1">DEC2HEX(SUM(_wrdqs_init0_ch2_cs1*2^16,_wrdqs_init0_ch2_cs0),8)</definedName>
    <definedName name="_EMIF2_EXT_PHY_CTRL_32_VAL" comment="Register*****OFFSET: 0x000002F8*****AVATAR ONLY" hidden="1">DEC2HEX(SUM(_wrdqs_init1_ch2_cs1*2^16,_wrdqs_init1_ch2_cs0),8)</definedName>
    <definedName name="_EMIF2_EXT_PHY_CTRL_33_VAL" comment="Register*****OFFSET: 0x00000300*****AVATAR ONLY" hidden="1">DEC2HEX(SUM(_wrdqs_init2_ch2_cs1*2^16,_wrdqs_init2_ch2_cs0),8)</definedName>
    <definedName name="_EMIF2_EXT_PHY_CTRL_34_VAL" comment="Register*****OFFSET: 0x00000308*****AVATAR ONLY" hidden="1">DEC2HEX(SUM(_wrdqs_init3_ch2_cs1*2^16,_wrdqs_init3_ch2_cs0),8)</definedName>
    <definedName name="_EMIF2_EXT_PHY_CTRL_35_VAL" comment="Register*****OFFSET: 0x00000310*****AVATAR ONLY" hidden="1">DEC2HEX(SUM(_wrdqs_init4_ch2_cs1*2^16,_wrdqs_init4_ch2_cs0),8)</definedName>
    <definedName name="_EMIF2_EXT_PHY_CTRL_36_VAL" comment="Register*****OFFSET: 0x00000318*****AVATAR ONLY - Bits 10:8 not configured" hidden="1">DEC2HEX(SUM(_phy_wrlvl_num_dq0*2^4,_phy_gatelvl_num_dq0),8)</definedName>
    <definedName name="_EMIF2_EXT_PHY_CTRL_4_VAL" comment="Register*****OFFSET: 0x00000218*****OMAP5 has different PHY register def than AVATAR" localSheetId="7" hidden="1">#N/A</definedName>
    <definedName name="_EMIF2_EXT_PHY_CTRL_4_VAL" comment="Register*****OFFSET: 0x00000218*****OMAP5 has different PHY register def than AVATAR" localSheetId="9" hidden="1">#N/A</definedName>
    <definedName name="_EMIF2_EXT_PHY_CTRL_4_VAL" comment="Register*****OFFSET: 0x00000218*****OMAP5 has different PHY register def than AVATAR" localSheetId="5" hidden="1">#N/A</definedName>
    <definedName name="_EMIF2_EXT_PHY_CTRL_4_VAL" comment="Register*****OFFSET: 0x00000218*****OMAP5 has different PHY register def than AVATAR" hidden="1">CHOOSE(MATCH('Title-README'!_soc_name,'Title-README'!_soc_names,0),_emif2_ext_phy_ctrl_4_val_omap5,_emif2_ext_phy_ctrl_4_val_vayu,_emif2_ext_phy_ctrl_4_val_vayu,_emif2_ext_phy_ctrl_4_val_vayu)</definedName>
    <definedName name="_emif2_ext_phy_ctrl_4_val_omap5" comment="Register_SOC-OMAP5*****OFFSET: 0x00000218*****INTERNAL ONLY" hidden="1">DEC2HEX(TRUNC(SUM(_fifowe_ratio3_ch2_cs1*2^22,_fifowe_ratio3_ch2_cs0*2^11,_fifowe_ratio2_ch2_cs1)/2^9)-(TRUNC(SUM(_fifowe_ratio3_ch2_cs1*2^22,_fifowe_ratio3_ch2_cs0*2^11,_fifowe_ratio2_ch2_cs1)/2^41)*2^32),8)</definedName>
    <definedName name="_emif2_ext_phy_ctrl_4_val_vayu" comment="Register_SOC-Vayu**********OFFSET: 0x00000218" hidden="1">DEC2HEX(SUM(_fifowe_ratio2_ch2_cs1*2^16,_fifowe_ratio2_ch2_cs0),8)</definedName>
    <definedName name="_EMIF2_EXT_PHY_CTRL_5_VAL" comment="Register*****OFFSET: 0x00000220*****OMAP5 has different PHY register def than AVATAR" localSheetId="7" hidden="1">#N/A</definedName>
    <definedName name="_EMIF2_EXT_PHY_CTRL_5_VAL" comment="Register*****OFFSET: 0x00000220*****OMAP5 has different PHY register def than AVATAR" localSheetId="9" hidden="1">#N/A</definedName>
    <definedName name="_EMIF2_EXT_PHY_CTRL_5_VAL" comment="Register*****OFFSET: 0x00000220*****OMAP5 has different PHY register def than AVATAR" localSheetId="5" hidden="1">#N/A</definedName>
    <definedName name="_EMIF2_EXT_PHY_CTRL_5_VAL" comment="Register*****OFFSET: 0x00000220*****OMAP5 has different PHY register def than AVATAR" hidden="1">CHOOSE(MATCH('Title-README'!_soc_name,'Title-README'!_soc_names,0),_emif2_ext_phy_ctrl_5_val_omap5,_emif2_ext_phy_ctrl_5_val_vayu,_emif2_ext_phy_ctrl_5_val_vayu,_emif2_ext_phy_ctrl_5_val_vayu)</definedName>
    <definedName name="_emif2_ext_phy_ctrl_5_val_omap5" comment="Register_SOC-OMAP5*****OFFSET: 0x00000220*****INTERNAL ONLY" localSheetId="7" hidden="1">DEC2HEX(SUM(GEL!_rddqs_ratio1*2^30,GEL!_rddqs_ratio1*2^20,GEL!_rddqs_ratio0*2^10,GEL!_rddqs_ratio0)-(TRUNC(SUM(GEL!_rddqs_ratio1*2^30,GEL!_rddqs_ratio1*2^20,GEL!_rddqs_ratio0*2^10,GEL!_rddqs_ratio0)/2^32)*2^32),8)</definedName>
    <definedName name="_emif2_ext_phy_ctrl_5_val_omap5" comment="Register_SOC-OMAP5*****OFFSET: 0x00000220*****INTERNAL ONLY" localSheetId="9" hidden="1">DEC2HEX(SUM(RTOS!_rddqs_ratio1*2^30,RTOS!_rddqs_ratio1*2^20,RTOS!_rddqs_ratio0*2^10,RTOS!_rddqs_ratio0)-(TRUNC(SUM(RTOS!_rddqs_ratio1*2^30,RTOS!_rddqs_ratio1*2^20,RTOS!_rddqs_ratio0*2^10,RTOS!_rddqs_ratio0)/2^32)*2^32),8)</definedName>
    <definedName name="_emif2_ext_phy_ctrl_5_val_omap5" comment="Register_SOC-OMAP5*****OFFSET: 0x00000220*****INTERNAL ONLY" localSheetId="5" hidden="1">DEC2HEX(SUM('VREF (LPDDR4)'!_rddqs_ratio1*2^30,'VREF (LPDDR4)'!_rddqs_ratio1*2^20,'VREF (LPDDR4)'!_rddqs_ratio0*2^10,'VREF (LPDDR4)'!_rddqs_ratio0)-(TRUNC(SUM('VREF (LPDDR4)'!_rddqs_ratio1*2^30,'VREF (LPDDR4)'!_rddqs_ratio1*2^20,'VREF (LPDDR4)'!_rddqs_ratio0*2^10,'VREF (LPDDR4)'!_rddqs_ratio0)/2^32)*2^32),8)</definedName>
    <definedName name="_emif2_ext_phy_ctrl_5_val_omap5" comment="Register_SOC-OMAP5*****OFFSET: 0x00000220*****INTERNAL ONLY" hidden="1">DEC2HEX(SUM(_rddqs_ratio1*2^30,_rddqs_ratio1*2^20,_rddqs_ratio0*2^10,_rddqs_ratio0)-(TRUNC(SUM(_rddqs_ratio1*2^30,_rddqs_ratio1*2^20,_rddqs_ratio0*2^10,_rddqs_ratio0)/2^32)*2^32),8)</definedName>
    <definedName name="_emif2_ext_phy_ctrl_5_val_vayu" comment="Register_SOC-Vayu**********OFFSET: 0x00000220" hidden="1">DEC2HEX(SUM(_fifowe_ratio3_ch2_cs1*2^16,_fifowe_ratio3_ch2_cs0),8)</definedName>
    <definedName name="_EMIF2_EXT_PHY_CTRL_6_VAL" comment="Register*****OFFSET: 0x00000228*****OMAP5 has different PHY register def than AVATAR" localSheetId="7" hidden="1">#N/A</definedName>
    <definedName name="_EMIF2_EXT_PHY_CTRL_6_VAL" comment="Register*****OFFSET: 0x00000228*****OMAP5 has different PHY register def than AVATAR" localSheetId="9" hidden="1">#N/A</definedName>
    <definedName name="_EMIF2_EXT_PHY_CTRL_6_VAL" comment="Register*****OFFSET: 0x00000228*****OMAP5 has different PHY register def than AVATAR" localSheetId="5" hidden="1">#N/A</definedName>
    <definedName name="_EMIF2_EXT_PHY_CTRL_6_VAL" comment="Register*****OFFSET: 0x00000228*****OMAP5 has different PHY register def than AVATAR" hidden="1">CHOOSE(MATCH('Title-README'!_soc_name,'Title-README'!_soc_names,0),_emif2_ext_phy_ctrl_6_val_omap5,_emif2_ext_phy_ctrl_6_val_vayu,_emif2_ext_phy_ctrl_6_val_vayu,_emif2_ext_phy_ctrl_6_val_vayu)</definedName>
    <definedName name="_emif2_ext_phy_ctrl_6_val_omap5" comment="Register_SOC-OMAP5*****OFFSET: 0x00000228*****INTERNAL ONLY" localSheetId="7" hidden="1">DEC2HEX(TRUNC(SUM(GEL!_rddqs_ratio3*2^30,GEL!_rddqs_ratio2*2^20,GEL!_rddqs_ratio2*2^10,GEL!_rddqs_ratio1)/2^2)-(TRUNC(SUM(GEL!_rddqs_ratio3*2^30,GEL!_rddqs_ratio2*2^20,GEL!_rddqs_ratio2*2^10,GEL!_rddqs_ratio1)/2^34)*2^32),8)</definedName>
    <definedName name="_emif2_ext_phy_ctrl_6_val_omap5" comment="Register_SOC-OMAP5*****OFFSET: 0x00000228*****INTERNAL ONLY" localSheetId="9" hidden="1">DEC2HEX(TRUNC(SUM(RTOS!_rddqs_ratio3*2^30,RTOS!_rddqs_ratio2*2^20,RTOS!_rddqs_ratio2*2^10,RTOS!_rddqs_ratio1)/2^2)-(TRUNC(SUM(RTOS!_rddqs_ratio3*2^30,RTOS!_rddqs_ratio2*2^20,RTOS!_rddqs_ratio2*2^10,RTOS!_rddqs_ratio1)/2^34)*2^32),8)</definedName>
    <definedName name="_emif2_ext_phy_ctrl_6_val_omap5" comment="Register_SOC-OMAP5*****OFFSET: 0x00000228*****INTERNAL ONLY" localSheetId="5" hidden="1">DEC2HEX(TRUNC(SUM('VREF (LPDDR4)'!_rddqs_ratio3*2^30,'VREF (LPDDR4)'!_rddqs_ratio2*2^20,'VREF (LPDDR4)'!_rddqs_ratio2*2^10,'VREF (LPDDR4)'!_rddqs_ratio1)/2^2)-(TRUNC(SUM('VREF (LPDDR4)'!_rddqs_ratio3*2^30,'VREF (LPDDR4)'!_rddqs_ratio2*2^20,'VREF (LPDDR4)'!_rddqs_ratio2*2^10,'VREF (LPDDR4)'!_rddqs_ratio1)/2^34)*2^32),8)</definedName>
    <definedName name="_emif2_ext_phy_ctrl_6_val_omap5" comment="Register_SOC-OMAP5*****OFFSET: 0x00000228*****INTERNAL ONLY" hidden="1">DEC2HEX(TRUNC(SUM(_rddqs_ratio3*2^30,_rddqs_ratio2*2^20,_rddqs_ratio2*2^10,_rddqs_ratio1)/2^2)-(TRUNC(SUM(_rddqs_ratio3*2^30,_rddqs_ratio2*2^20,_rddqs_ratio2*2^10,_rddqs_ratio1)/2^34)*2^32),8)</definedName>
    <definedName name="_emif2_ext_phy_ctrl_6_val_vayu" comment="Register_SOC-Vayu**********OFFSET: 0x00000228" hidden="1">DEC2HEX(SUM(_fifowe_ratio4_ch2_cs1*2^16,_fifowe_ratio4_ch2_cs0),8)</definedName>
    <definedName name="_EMIF2_EXT_PHY_CTRL_7_VAL" comment="Register*****OFFSET: 0x00000230*****OMAP5 has different PHY register def than AVATAR" localSheetId="7" hidden="1">#N/A</definedName>
    <definedName name="_EMIF2_EXT_PHY_CTRL_7_VAL" comment="Register*****OFFSET: 0x00000230*****OMAP5 has different PHY register def than AVATAR" localSheetId="9" hidden="1">#N/A</definedName>
    <definedName name="_EMIF2_EXT_PHY_CTRL_7_VAL" comment="Register*****OFFSET: 0x00000230*****OMAP5 has different PHY register def than AVATAR" localSheetId="5" hidden="1">#N/A</definedName>
    <definedName name="_EMIF2_EXT_PHY_CTRL_7_VAL" comment="Register*****OFFSET: 0x00000230*****OMAP5 has different PHY register def than AVATAR" hidden="1">CHOOSE(MATCH('Title-README'!_soc_name,'Title-README'!_soc_names,0),_emif2_ext_phy_ctrl_7_val_omap5,_emif2_ext_phy_ctrl_7_val_vayu,_emif2_ext_phy_ctrl_7_val_vayu,_emif2_ext_phy_ctrl_7_val_vayu)</definedName>
    <definedName name="_emif2_ext_phy_ctrl_7_val_omap5" comment="Register_SOC-OMAP5*****OFFSET: 0x00000230*****INTERNAL ONLY" localSheetId="7" hidden="1">DEC2HEX(TRUNC(SUM(GEL!_rddqs_ratio3*2^10,GEL!_rddqs_ratio3)/2^4)-(TRUNC(SUM(GEL!_rddqs_ratio3*2^10,GEL!_rddqs_ratio3)/2^36)*2^32),8)</definedName>
    <definedName name="_emif2_ext_phy_ctrl_7_val_omap5" comment="Register_SOC-OMAP5*****OFFSET: 0x00000230*****INTERNAL ONLY" localSheetId="9" hidden="1">DEC2HEX(TRUNC(SUM(RTOS!_rddqs_ratio3*2^10,RTOS!_rddqs_ratio3)/2^4)-(TRUNC(SUM(RTOS!_rddqs_ratio3*2^10,RTOS!_rddqs_ratio3)/2^36)*2^32),8)</definedName>
    <definedName name="_emif2_ext_phy_ctrl_7_val_omap5" comment="Register_SOC-OMAP5*****OFFSET: 0x00000230*****INTERNAL ONLY" localSheetId="5" hidden="1">DEC2HEX(TRUNC(SUM('VREF (LPDDR4)'!_rddqs_ratio3*2^10,'VREF (LPDDR4)'!_rddqs_ratio3)/2^4)-(TRUNC(SUM('VREF (LPDDR4)'!_rddqs_ratio3*2^10,'VREF (LPDDR4)'!_rddqs_ratio3)/2^36)*2^32),8)</definedName>
    <definedName name="_emif2_ext_phy_ctrl_7_val_omap5" comment="Register_SOC-OMAP5*****OFFSET: 0x00000230*****INTERNAL ONLY" hidden="1">DEC2HEX(TRUNC(SUM(_rddqs_ratio3*2^10,_rddqs_ratio3)/2^4)-(TRUNC(SUM(_rddqs_ratio3*2^10,_rddqs_ratio3)/2^36)*2^32),8)</definedName>
    <definedName name="_emif2_ext_phy_ctrl_7_val_vayu" comment="Register_SOC-Vayu**********OFFSET: 0x00000230" localSheetId="7" hidden="1">DEC2HEX(SUM(GEL!_rddqs_ratio0*2^16,GEL!_rddqs_ratio0),8)</definedName>
    <definedName name="_emif2_ext_phy_ctrl_7_val_vayu" comment="Register_SOC-Vayu**********OFFSET: 0x00000230" localSheetId="9" hidden="1">DEC2HEX(SUM(RTOS!_rddqs_ratio0*2^16,RTOS!_rddqs_ratio0),8)</definedName>
    <definedName name="_emif2_ext_phy_ctrl_7_val_vayu" comment="Register_SOC-Vayu**********OFFSET: 0x00000230" localSheetId="5" hidden="1">DEC2HEX(SUM('VREF (LPDDR4)'!_rddqs_ratio0*2^16,'VREF (LPDDR4)'!_rddqs_ratio0),8)</definedName>
    <definedName name="_emif2_ext_phy_ctrl_7_val_vayu" comment="Register_SOC-Vayu**********OFFSET: 0x00000230" hidden="1">DEC2HEX(SUM(_rddqs_ratio0*2^16,_rddqs_ratio0),8)</definedName>
    <definedName name="_EMIF2_EXT_PHY_CTRL_8_VAL" comment="Register*****OFFSET: 0x00000238*****OMAP5 has different PHY register def than AVATAR" localSheetId="7" hidden="1">#N/A</definedName>
    <definedName name="_EMIF2_EXT_PHY_CTRL_8_VAL" comment="Register*****OFFSET: 0x00000238*****OMAP5 has different PHY register def than AVATAR" localSheetId="9" hidden="1">#N/A</definedName>
    <definedName name="_EMIF2_EXT_PHY_CTRL_8_VAL" comment="Register*****OFFSET: 0x00000238*****OMAP5 has different PHY register def than AVATAR" localSheetId="5" hidden="1">#N/A</definedName>
    <definedName name="_EMIF2_EXT_PHY_CTRL_8_VAL" comment="Register*****OFFSET: 0x00000238*****OMAP5 has different PHY register def than AVATAR" hidden="1">CHOOSE(MATCH('Title-README'!_soc_name,'Title-README'!_soc_names,0),_emif2_ext_phy_ctrl_8_val_omap5,_emif2_ext_phy_ctrl_8_val_vayu,_emif2_ext_phy_ctrl_8_val_vayu,_emif2_ext_phy_ctrl_8_val_vayu)</definedName>
    <definedName name="_emif2_ext_phy_ctrl_8_val_omap5" comment="Register_SOC-OMAP5*****OFFSET: 0x00000238*****INTERNAL ONLY" hidden="1">DEC2HEX(SUM(_wrdata_ratio1_ch2_cs1*2^30,_wrdata_ratio1_ch2_cs0*2^20,_wrdata_ratio0_ch2_cs1*2^10,_wrdata_ratio0_ch2_cs0)-(TRUNC(SUM(_wrdata_ratio1_ch2_cs1*2^30,_wrdata_ratio1_ch2_cs0*2^20,_wrdata_ratio0_ch2_cs1*2^10,_wrdata_ratio0_ch2_cs0)/2^32)*2^32),8)</definedName>
    <definedName name="_emif2_ext_phy_ctrl_8_val_vayu" comment="Register_SOC-Vayu**********OFFSET: 0x00000238" localSheetId="7" hidden="1">DEC2HEX(SUM(GEL!_rddqs_ratio1*2^16,GEL!_rddqs_ratio1),8)</definedName>
    <definedName name="_emif2_ext_phy_ctrl_8_val_vayu" comment="Register_SOC-Vayu**********OFFSET: 0x00000238" localSheetId="9" hidden="1">DEC2HEX(SUM(RTOS!_rddqs_ratio1*2^16,RTOS!_rddqs_ratio1),8)</definedName>
    <definedName name="_emif2_ext_phy_ctrl_8_val_vayu" comment="Register_SOC-Vayu**********OFFSET: 0x00000238" localSheetId="5" hidden="1">DEC2HEX(SUM('VREF (LPDDR4)'!_rddqs_ratio1*2^16,'VREF (LPDDR4)'!_rddqs_ratio1),8)</definedName>
    <definedName name="_emif2_ext_phy_ctrl_8_val_vayu" comment="Register_SOC-Vayu**********OFFSET: 0x00000238" hidden="1">DEC2HEX(SUM(_rddqs_ratio1*2^16,_rddqs_ratio1),8)</definedName>
    <definedName name="_EMIF2_EXT_PHY_CTRL_9_VAL" comment="Register*****OFFSET: 0x00000240*****OMAP5 has different PHY register def than AVATAR" localSheetId="7" hidden="1">#N/A</definedName>
    <definedName name="_EMIF2_EXT_PHY_CTRL_9_VAL" comment="Register*****OFFSET: 0x00000240*****OMAP5 has different PHY register def than AVATAR" localSheetId="9" hidden="1">#N/A</definedName>
    <definedName name="_EMIF2_EXT_PHY_CTRL_9_VAL" comment="Register*****OFFSET: 0x00000240*****OMAP5 has different PHY register def than AVATAR" localSheetId="5" hidden="1">#N/A</definedName>
    <definedName name="_EMIF2_EXT_PHY_CTRL_9_VAL" comment="Register*****OFFSET: 0x00000240*****OMAP5 has different PHY register def than AVATAR" hidden="1">CHOOSE(MATCH('Title-README'!_soc_name,'Title-README'!_soc_names,0),_emif2_ext_phy_ctrl_9_val_omap5,_emif2_ext_phy_ctrl_9_val_vayu,_emif2_ext_phy_ctrl_9_val_vayu,_emif2_ext_phy_ctrl_9_val_vayu)</definedName>
    <definedName name="_emif2_ext_phy_ctrl_9_val_omap5" comment="Register_SOC-OMAP5*****OFFSET: 0x00000240*****INTERNAL ONLY" hidden="1">DEC2HEX(TRUNC(SUM(_wrdata_ratio3_ch2_cs0*2^30,_wrdata_ratio2_ch2_cs1*2^20,_wrdata_ratio2_ch2_cs0*2^10,_wrdata_ratio1_ch2_cs1)/2^2)-(TRUNC(SUM(_wrdata_ratio3_ch2_cs0*2^30,_wrdata_ratio2_ch2_cs1*2^20,_wrdata_ratio2_ch2_cs0*2^10,_wrdata_ratio1_ch2_cs1)/2^34)*2^32),8)</definedName>
    <definedName name="_emif2_ext_phy_ctrl_9_val_vayu" comment="Register_SOC-Vayu**********OFFSET: 0x00000240" localSheetId="7" hidden="1">DEC2HEX(SUM(GEL!_rddqs_ratio2*2^16,GEL!_rddqs_ratio2),8)</definedName>
    <definedName name="_emif2_ext_phy_ctrl_9_val_vayu" comment="Register_SOC-Vayu**********OFFSET: 0x00000240" localSheetId="9" hidden="1">DEC2HEX(SUM(RTOS!_rddqs_ratio2*2^16,RTOS!_rddqs_ratio2),8)</definedName>
    <definedName name="_emif2_ext_phy_ctrl_9_val_vayu" comment="Register_SOC-Vayu**********OFFSET: 0x00000240" localSheetId="5" hidden="1">DEC2HEX(SUM('VREF (LPDDR4)'!_rddqs_ratio2*2^16,'VREF (LPDDR4)'!_rddqs_ratio2),8)</definedName>
    <definedName name="_emif2_ext_phy_ctrl_9_val_vayu" comment="Register_SOC-Vayu**********OFFSET: 0x00000240" hidden="1">DEC2HEX(SUM(_rddqs_ratio2*2^16,_rddqs_ratio2),8)</definedName>
    <definedName name="_enable_jedec" comment="XCEL_PARAM**********" hidden="1">0</definedName>
    <definedName name="_fifowe_init0_ch1_cs0" comment="Bit_Field_PHY_CTRL_EXT*****PHY_CONTROL_EXT[532:522]*****" hidden="1">_fifowe_ratio0_ch1_cs0 - ROUND((125000 / _ddr_pll_freq / _dll_res),0)</definedName>
    <definedName name="_fifowe_init0_ch1_cs1" comment="Bit_Field_PHY_CTRL_EXT*****PHY_CONTROL_EXT[543:533]*****" hidden="1">_fifowe_ratio0_ch1_cs1 - ROUND((125000 / _ddr_pll_freq / _dll_res),0)</definedName>
    <definedName name="_fifowe_init0_ch2_cs0" comment="Bit_Field_PHY_CTRL_EXT*****PHY_CONTROL_EXT[532:522]*****" hidden="1">_fifowe_ratio0_ch2_cs0 - ROUND((125000 / _ddr_pll_freq / _dll_res),0)</definedName>
    <definedName name="_fifowe_init0_ch2_cs1" comment="Bit_Field_PHY_CTRL_EXT*****PHY_CONTROL_EXT[543:533]*****" hidden="1">_fifowe_ratio0_ch2_cs1 - ROUND((125000 / _ddr_pll_freq / _dll_res),0)</definedName>
    <definedName name="_fifowe_init1_ch1_cs0" comment="Bit_Field_PHY_CTRL_EXT*****PHY_CONTROL_EXT[554:544]*****" hidden="1">_fifowe_ratio1_ch1_cs0 - ROUND((125000 / _ddr_pll_freq / _dll_res),0)</definedName>
    <definedName name="_fifowe_init1_ch1_cs1" comment="Bit_Field_PHY_CTRL_EXT*****PHY_CONTROL_EXT[565:555]*****" hidden="1">_fifowe_ratio1_ch1_cs1 - ROUND((125000 / _ddr_pll_freq / _dll_res),0)</definedName>
    <definedName name="_fifowe_init1_ch2_cs0" comment="Bit_Field_PHY_CTRL_EXT*****PHY_CONTROL_EXT[554:544]*****" hidden="1">_fifowe_ratio1_ch2_cs0 - ROUND((125000 / _ddr_pll_freq / _dll_res),0)</definedName>
    <definedName name="_fifowe_init1_ch2_cs1" comment="Bit_Field_PHY_CTRL_EXT*****PHY_CONTROL_EXT[565:555]*****" hidden="1">_fifowe_ratio1_ch2_cs1 - ROUND((125000 / _ddr_pll_freq / _dll_res),0)</definedName>
    <definedName name="_fifowe_init2_ch1_cs0" comment="Bit_Field_PHY_CTRL_EXT*****PHY_CONTROL_EXT[576:566]*****" hidden="1">_fifowe_ratio2_ch1_cs0 - ROUND((125000 / _ddr_pll_freq / _dll_res),0)</definedName>
    <definedName name="_fifowe_init2_ch1_cs1" comment="Bit_Field_PHY_CTRL_EXT*****PHY_CONTROL_EXT[587:577]*****" hidden="1">_fifowe_ratio2_ch1_cs1 - ROUND((125000 / _ddr_pll_freq / _dll_res),0)</definedName>
    <definedName name="_fifowe_init2_ch2_cs0" comment="Bit_Field_PHY_CTRL_EXT*****PHY_CONTROL_EXT[576:566]*****" hidden="1">_fifowe_ratio2_ch2_cs0 - ROUND((125000 / _ddr_pll_freq / _dll_res),0)</definedName>
    <definedName name="_fifowe_init2_ch2_cs1" comment="Bit_Field_PHY_CTRL_EXT*****PHY_CONTROL_EXT[587:577]*****" hidden="1">_fifowe_ratio2_ch2_cs1 - ROUND((125000 / _ddr_pll_freq / _dll_res),0)</definedName>
    <definedName name="_fifowe_init3_ch1_cs0" comment="Bit_Field_PHY_CTRL_EXT*****PHY_CONTROL_EXT[598:588]*****" hidden="1">_fifowe_ratio3_ch1_cs0 - ROUND((125000 / _ddr_pll_freq / _dll_res),0)</definedName>
    <definedName name="_fifowe_init3_ch1_cs1" comment="Bit_Field_PHY_CTRL_EXT*****PHY_CONTROL_EXT[609:599]*****" hidden="1">_fifowe_ratio3_ch1_cs1 - ROUND((125000 / _ddr_pll_freq / _dll_res),0)</definedName>
    <definedName name="_fifowe_init3_ch2_cs0" comment="Bit_Field_PHY_CTRL_EXT*****PHY_CONTROL_EXT[598:588]*****" hidden="1">_fifowe_ratio3_ch2_cs0 - ROUND((125000 / _ddr_pll_freq / _dll_res),0)</definedName>
    <definedName name="_fifowe_init3_ch2_cs1" comment="Bit_Field_PHY_CTRL_EXT*****PHY_CONTROL_EXT[609:599]*****" hidden="1">_fifowe_ratio3_ch2_cs1 - ROUND((125000 / _ddr_pll_freq / _dll_res),0)</definedName>
    <definedName name="_fifowe_init4_ch1_cs0" comment="Bit_Field_PHY_CTRL_EXT*****PHY_CONTROL_EXT[620:610]*****" hidden="1">_fifowe_ratio4_ch1_cs0 - ROUND((125000 / _ddr_pll_freq / _dll_res),0)</definedName>
    <definedName name="_fifowe_init4_ch1_cs1" comment="Bit_Field_PHY_CTRL_EXT*****PHY_CONTROL_EXT[631:621]*****" hidden="1">_fifowe_ratio4_ch1_cs1 - ROUND((125000 / _ddr_pll_freq / _dll_res),0)</definedName>
    <definedName name="_fifowe_init4_ch2_cs0" comment="Bit_Field_PHY_CTRL_EXT*****PHY_CONTROL_EXT[620:610]*****" hidden="1">_fifowe_ratio4_ch2_cs0 - ROUND((125000 / _ddr_pll_freq / _dll_res),0)</definedName>
    <definedName name="_fifowe_init4_ch2_cs1" comment="Bit_Field_PHY_CTRL_EXT*****PHY_CONTROL_EXT[631:621]*****" hidden="1">_fifowe_ratio4_ch2_cs1 - ROUND((125000 / _ddr_pll_freq / _dll_res),0)</definedName>
    <definedName name="_fifowe_ratio0_ch1_cs0" comment="Bit_Field_PHY_CTRL_EXT*****PHY_CONTROL_EXT[040:030]*****" hidden="1">ROUND(IF(_sdram_type="LPDDR2",4000/_dll_res,((_t_rdtrip_brddly_p0_ch1_cs0 + (333333 / _ddr_pll_freq) + (_phy_invert_clk * 500000 / _ddr_pll_freq)) / _dll_res)),0)</definedName>
    <definedName name="_fifowe_ratio0_ch1_cs1" comment="Bit_Field_PHY_CTRL_EXT*****PHY_CONTROL_EXT[051:041]*****" hidden="1">ROUND(IF(_sdram_type="LPDDR2",4000/_dll_res,((_t_rdtrip_brddly_p0_ch1_cs1 + (333333 / _ddr_pll_freq) + (_phy_invert_clk * 500000 / _ddr_pll_freq)) / _dll_res)),0)</definedName>
    <definedName name="_fifowe_ratio0_ch2_cs0" comment="Bit_Field_PHY_CTRL_EXT*****PHY_CONTROL_EXT[040:030]*****" hidden="1">ROUND(IF(_sdram_type="LPDDR2",4000/_dll_res,((_t_rdtrip_brddly_p0_ch2_cs0 + (333333 / _ddr_pll_freq) + (_phy_invert_clk * 500000 / _ddr_pll_freq)) / _dll_res)),0)</definedName>
    <definedName name="_fifowe_ratio0_ch2_cs1" comment="Bit_Field_PHY_CTRL_EXT*****PHY_CONTROL_EXT[051:041]*****" hidden="1">ROUND(IF(_sdram_type="LPDDR2",4000/_dll_res,((_t_rdtrip_brddly_p0_ch2_cs1 + (333333 / _ddr_pll_freq) + (_phy_invert_clk * 500000 / _ddr_pll_freq)) / _dll_res)),0)</definedName>
    <definedName name="_fifowe_ratio1_ch1_cs0" comment="Bit_Field_PHY_CTRL_EXT*****PHY_CONTROL_EXT[062:052]*****" hidden="1">ROUND(IF(_sdram_type="LPDDR2",4000/_dll_res,((_t_rdtrip_brddly_p1_ch1_cs0 + (333333 / _ddr_pll_freq) + (_phy_invert_clk * 500000 / _ddr_pll_freq)) / _dll_res)),0)</definedName>
    <definedName name="_fifowe_ratio1_ch1_cs1" comment="Bit_Field_PHY_CTRL_EXT*****PHY_CONTROL_EXT[073:063]*****" hidden="1">ROUND(IF(_sdram_type="LPDDR2",4000/_dll_res,((_t_rdtrip_brddly_p1_ch1_cs1 + (333333 / _ddr_pll_freq) + (_phy_invert_clk * 500000 / _ddr_pll_freq)) / _dll_res)),0)</definedName>
    <definedName name="_fifowe_ratio1_ch2_cs0" comment="Bit_Field_PHY_CTRL_EXT*****PHY_CONTROL_EXT[062:052]*****" hidden="1">ROUND(IF(_sdram_type="LPDDR2",4000/_dll_res,((_t_rdtrip_brddly_p1_ch2_cs0 + (333333 / _ddr_pll_freq) + (_phy_invert_clk * 500000 / _ddr_pll_freq)) / _dll_res)),0)</definedName>
    <definedName name="_fifowe_ratio1_ch2_cs1" comment="Bit_Field_PHY_CTRL_EXT*****PHY_CONTROL_EXT[073:063]*****" hidden="1">ROUND(IF(_sdram_type="LPDDR2",4000/_dll_res,((_t_rdtrip_brddly_p1_ch2_cs1 + (333333 / _ddr_pll_freq) + (_phy_invert_clk * 500000 / _ddr_pll_freq)) / _dll_res)),0)</definedName>
    <definedName name="_fifowe_ratio2_ch1_cs0" comment="Bit_Field_PHY_CTRL_EXT*****PHY_CONTROL_EXT[084:074]*****" hidden="1">ROUND(IF(_sdram_type="LPDDR2",4000/_dll_res,((_t_rdtrip_brddly_p2_ch1_cs0 + (333333 / _ddr_pll_freq) + (_phy_invert_clk * 500000 / _ddr_pll_freq)) / _dll_res)),0)</definedName>
    <definedName name="_fifowe_ratio2_ch1_cs1" comment="Bit_Field_PHY_CTRL_EXT*****PHY_CONTROL_EXT[095:085]*****" hidden="1">ROUND(IF(_sdram_type="LPDDR2",4000/_dll_res,((_t_rdtrip_brddly_p2_ch1_cs1 + (333333 / _ddr_pll_freq) + (_phy_invert_clk * 500000 / _ddr_pll_freq)) / _dll_res)),0)</definedName>
    <definedName name="_fifowe_ratio2_ch2_cs0" comment="Bit_Field_PHY_CTRL_EXT*****PHY_CONTROL_EXT[084:074]*****" hidden="1">ROUND(IF(_sdram_type="LPDDR2",4000/_dll_res,((_t_rdtrip_brddly_p2_ch2_cs0 + (333333 / _ddr_pll_freq) + (_phy_invert_clk * 500000 / _ddr_pll_freq)) / _dll_res)),0)</definedName>
    <definedName name="_fifowe_ratio2_ch2_cs1" comment="Bit_Field_PHY_CTRL_EXT*****PHY_CONTROL_EXT[095:085]*****" hidden="1">ROUND(IF(_sdram_type="LPDDR2",4000/_dll_res,((_t_rdtrip_brddly_p2_ch2_cs1 + (333333 / _ddr_pll_freq) + (_phy_invert_clk * 500000 / _ddr_pll_freq)) / _dll_res)),0)</definedName>
    <definedName name="_fifowe_ratio3_ch1_cs0" comment="Bit_Field_PHY_CTRL_EXT*****PHY_CONTROL_EXT[106:96]*****" hidden="1">ROUND(IF(_sdram_type="LPDDR2",4000/_dll_res,((_t_rdtrip_brddly_p3_ch1_cs0 + (333333 / _ddr_pll_freq) + (_phy_invert_clk * 500000 / _ddr_pll_freq)) / _dll_res)),0)</definedName>
    <definedName name="_fifowe_ratio3_ch1_cs1" comment="Bit_Field_PHY_CTRL_EXT*****PHY_CONTROL_EXT[117:107]*****" hidden="1">ROUND(IF(_sdram_type="LPDDR2",4000/_dll_res,((_t_rdtrip_brddly_p3_ch1_cs1 + (333333 / _ddr_pll_freq) + (_phy_invert_clk * 500000 / _ddr_pll_freq)) / _dll_res)),0)</definedName>
    <definedName name="_fifowe_ratio3_ch2_cs0" comment="Bit_Field_PHY_CTRL_EXT*****PHY_CONTROL_EXT[106:96]*****" hidden="1">ROUND(IF(_sdram_type="LPDDR2",4000/_dll_res,((_t_rdtrip_brddly_p3_ch2_cs0 + (333333 / _ddr_pll_freq) + (_phy_invert_clk * 500000 / _ddr_pll_freq)) / _dll_res)),0)</definedName>
    <definedName name="_fifowe_ratio3_ch2_cs1" comment="Bit_Field_PHY_CTRL_EXT*****PHY_CONTROL_EXT[117:107]*****" hidden="1">ROUND(IF(_sdram_type="LPDDR2",4000/_dll_res,((_t_rdtrip_brddly_p3_ch2_cs1 + (333333 / _ddr_pll_freq) + (_phy_invert_clk * 500000 / _ddr_pll_freq)) / _dll_res)),0)</definedName>
    <definedName name="_fifowe_ratio4_ch1_cs0" comment="Bit_Field_PHY_CTRL_EXT*****PHY_CONTROL_EXT[128:118]*****" hidden="1">ROUND(IF(_sdram_type="LPDDR2",4000/_dll_res,((_t_rdtrip_brddly_p4_ch1_cs0 + (333333 / _ddr_pll_freq) + (_phy_invert_clk * 500000 / _ddr_pll_freq)) / _dll_res)),0)</definedName>
    <definedName name="_fifowe_ratio4_ch1_cs1" comment="Bit_Field_PHY_CTRL_EXT*****PHY_CONTROL_EXT[139:129]*****" hidden="1">ROUND(IF(_sdram_type="LPDDR2",4000/_dll_res,((_t_rdtrip_brddly_p4_ch1_cs1 + (333333 / _ddr_pll_freq) + (_phy_invert_clk * 500000 / _ddr_pll_freq)) / _dll_res)),0)</definedName>
    <definedName name="_fifowe_ratio4_ch2_cs0" comment="Bit_Field_PHY_CTRL_EXT*****PHY_CONTROL_EXT[128:118]*****" hidden="1">ROUND(IF(_sdram_type="LPDDR2",4000/_dll_res,((_t_rdtrip_brddly_p4_ch2_cs0 + (333333 / _ddr_pll_freq) + (_phy_invert_clk * 500000 / _ddr_pll_freq)) / _dll_res)),0)</definedName>
    <definedName name="_fifowe_ratio4_ch2_cs1" comment="Bit_Field_PHY_CTRL_EXT*****PHY_CONTROL_EXT[139:129]*****" hidden="1">ROUND(IF(_sdram_type="LPDDR2",4000/_dll_res,((_t_rdtrip_brddly_p4_ch2_cs1 + (333333 / _ddr_pll_freq) + (_phy_invert_clk * 500000 / _ddr_pll_freq)) / _dll_res)),0)</definedName>
    <definedName name="_xlnm._FilterDatabase" localSheetId="10" hidden="1">IBIS!$B$12:$O$451</definedName>
    <definedName name="_is_ma_present" comment="**********" localSheetId="7" hidden="1">#N/A</definedName>
    <definedName name="_is_ma_present" comment="**********" localSheetId="9" hidden="1">#N/A</definedName>
    <definedName name="_is_ma_present" comment="**********" localSheetId="5" hidden="1">#N/A</definedName>
    <definedName name="_is_ma_present" comment="**********" hidden="1">IF('Title-README'!_soc_name="adaslow",0,1)</definedName>
    <definedName name="_j6_evm_rdtrip_delay_emif1" comment="**********Temp fix" hidden="1">1000</definedName>
    <definedName name="_j6_evm_rdtrip_delay_emif2" comment="**********Temp fix" hidden="1">700</definedName>
    <definedName name="_j6e_evm_rdtrip_delay_emif1" comment="**********" hidden="1">0</definedName>
    <definedName name="_lpddr2_cl" comment="**********" hidden="1">{"NA"}</definedName>
    <definedName name="_lpddr2_densities" comment="JEDEC_LPDDR2_SPEC**********Not including 6 Gb (doesn't appear to be sold at Micron or ISSI)" localSheetId="0" hidden="1">{0.25;0.5;1;2;4;8}</definedName>
    <definedName name="_lpddr2_densities" hidden="1">{0.25;0.5;1;2;4;8}</definedName>
    <definedName name="_lpddr2_drive_imp" comment="**********" localSheetId="0" hidden="1">{34.3;40;48;60;68.6;80;120}</definedName>
    <definedName name="_lpddr2_drive_imp" hidden="1">{34.3;40;48;60;68.6;80;120}</definedName>
    <definedName name="_lpddr2_ecc" comment="**********" localSheetId="0" hidden="1">{"No"}</definedName>
    <definedName name="_lpddr2_ecc" hidden="1">{"No"}</definedName>
    <definedName name="_lpddr2_rtt" comment="**********" localSheetId="0" hidden="1">{"NA"}</definedName>
    <definedName name="_lpddr2_rtt" hidden="1">{"NA"}</definedName>
    <definedName name="_lpddr2_rttwr" comment="**********" localSheetId="0" hidden="1">{"NA"}</definedName>
    <definedName name="_lpddr2_rttwr" hidden="1">{"NA"}</definedName>
    <definedName name="_lpddr2_sb_1074_ck" comment="JEDEC_LPDDR2_SPEC**********INTERNAL ONLY" localSheetId="0" hidden="1">{1.875}</definedName>
    <definedName name="_lpddr2_sb_1074_ck" hidden="1">{1.875}</definedName>
    <definedName name="_lpddr2_sb_1074_cl" comment="JEDEC_LPDDR2_SPEC**********INTERNAL ONLY" localSheetId="0" hidden="1">{8}</definedName>
    <definedName name="_lpddr2_sb_1074_cl" hidden="1">{8}</definedName>
    <definedName name="_lpddr2_sb_336_ck" comment="JEDEC_LPDDR2_SPEC**********INTERNAL ONLY" localSheetId="0" hidden="1">{6}</definedName>
    <definedName name="_lpddr2_sb_336_ck" hidden="1">{6}</definedName>
    <definedName name="_lpddr2_sb_336_cl" comment="JEDEC_LPDDR2_SPEC**********INTERNAL ONLY" localSheetId="0" hidden="1">{3}</definedName>
    <definedName name="_lpddr2_sb_336_cl" hidden="1">{3}</definedName>
    <definedName name="_lpddr2_sb_403_ck" comment="JEDEC_LPDDR2_SPEC**********INTERNAL ONLY" localSheetId="0" hidden="1">{5}</definedName>
    <definedName name="_lpddr2_sb_403_ck" hidden="1">{5}</definedName>
    <definedName name="_lpddr2_sb_403_cl" comment="JEDEC_LPDDR2_SPEC**********INTERNAL ONLY" localSheetId="0" hidden="1">{3}</definedName>
    <definedName name="_lpddr2_sb_403_cl" hidden="1">{3}</definedName>
    <definedName name="_lpddr2_sb_537_ck" comment="JEDEC_LPDDR2_SPEC**********INTERNAL ONLY" localSheetId="0" hidden="1">{3.75}</definedName>
    <definedName name="_lpddr2_sb_537_ck" hidden="1">{3.75}</definedName>
    <definedName name="_lpddr2_sb_537_cl" comment="JEDEC_LPDDR2_SPEC**********INTERNAL ONLY" localSheetId="0" hidden="1">{4}</definedName>
    <definedName name="_lpddr2_sb_537_cl" hidden="1">{4}</definedName>
    <definedName name="_lpddr2_sb_672_ck" comment="JEDEC_LPDDR2_SPEC**********INTERNAL ONLY" localSheetId="0" hidden="1">{3}</definedName>
    <definedName name="_lpddr2_sb_672_ck" hidden="1">{3}</definedName>
    <definedName name="_lpddr2_sb_672_cl" comment="JEDEC_LPDDR2_SPEC**********INTERNAL ONLY" localSheetId="0" hidden="1">{5}</definedName>
    <definedName name="_lpddr2_sb_672_cl" hidden="1">{5}</definedName>
    <definedName name="_lpddr2_sb_806_ck" comment="JEDEC_LPDDR2_SPEC**********INTERNAL ONLY" localSheetId="0" hidden="1">{2.5}</definedName>
    <definedName name="_lpddr2_sb_806_ck" hidden="1">{2.5}</definedName>
    <definedName name="_lpddr2_sb_806_cl" comment="JEDEC_LPDDR2_SPEC**********INTERNAL ONLY" localSheetId="0" hidden="1">{6}</definedName>
    <definedName name="_lpddr2_sb_806_cl" hidden="1">{6}</definedName>
    <definedName name="_lpddr2_sb_940_ck" comment="JEDEC_LPDDR2_SPEC*****Updated from 2.15 to 2.14 (1000/466.5 = 2.1436…)*****INTERNAL ONLY" localSheetId="0" hidden="1">{2.14}</definedName>
    <definedName name="_lpddr2_sb_940_ck" hidden="1">{2.14}</definedName>
    <definedName name="_lpddr2_sb_940_cl" comment="JEDEC_LPDDR2_SPEC**********INTERNAL ONLY" localSheetId="0" hidden="1">{7}</definedName>
    <definedName name="_lpddr2_sb_940_cl" hidden="1">{7}</definedName>
    <definedName name="_lpddr2_sb_data" comment="JEDEC_LPDDR2_SPEC**********Not including 466, 266, or 200 as only supported by NVM" localSheetId="0" hidden="1">{333;400;533;667;800;933;1066}</definedName>
    <definedName name="_lpddr2_sb_data" hidden="1">{333;400;533;667;800;933;1066}</definedName>
    <definedName name="_lpddr2_sb_lookup" comment="JEDEC_LPDDR2_SPEC**********" localSheetId="0" hidden="1">{336;403;537;672;806;940;1074}</definedName>
    <definedName name="_lpddr2_sb_lookup" hidden="1">{336;403;537;672;806;940;1074}</definedName>
    <definedName name="_lpddr2_sb_wtr" comment="JEDEC_LPDDR2_SPEC**********" localSheetId="0" hidden="1">{10;10;7.5;7.5;7.5;7.5;7.5}</definedName>
    <definedName name="_lpddr2_sb_wtr" hidden="1">{10;10;7.5;7.5;7.5;7.5;7.5}</definedName>
    <definedName name="_phy_clk_stall_level" comment="Bit_Field_DDR_PHY_CTRL_1_VAL*****DDR_PHY_CTRL_1[20]*****" hidden="1">0</definedName>
    <definedName name="_phy_ctrl_delay" comment="Bit_Field_PHY_CTRL_EXT*****PHY_CONTROL_EXT[448:440]*****" hidden="1">128</definedName>
    <definedName name="_phy_dis_calib_rst" comment="Bit_Field_DDR_PHY_CTRL_1_VAL*****DDR_PHY_CTRL_1[19]*****" hidden="1">0</definedName>
    <definedName name="_phy_dll_lock_diff" comment="Bit_Field_DDR_PHY_CTRL_1_VAL*****DDR_PHY_CTRL_1[17:10]*****" hidden="1">16</definedName>
    <definedName name="_phy_dq_offset0" comment="Bit_Field_PHY_CTRL_EXT*****PHY_CONTROL_EXT[491:485]*****" hidden="1">64</definedName>
    <definedName name="_phy_dq_offset1" comment="Bit_Field_PHY_CTRL_EXT*****PHY_CONTROL_EXT[498:492]*****" hidden="1">64</definedName>
    <definedName name="_phy_dq_offset2" comment="Bit_Field_PHY_CTRL_EXT*****PHY_CONTROL_EXT[505:499]*****" hidden="1">64</definedName>
    <definedName name="_phy_dq_offset3" comment="Bit_Field_PHY_CTRL_EXT*****PHY_CONTROL_EXT[512:506]*****" hidden="1">64</definedName>
    <definedName name="_phy_dq_offset4" comment="Bit_Field_PHY_CTRL_EXT*****PHY_CONTROL_EXT[519:513]*****" hidden="1">64</definedName>
    <definedName name="_phy_fast_dll_lock" comment="Bit_Field_DDR_PHY_CTRL_1_VAL*****DDR_PHY_CTRL_1[09]*****" hidden="1">0</definedName>
    <definedName name="_phy_fifowe_delay" comment="Bit_Field_PHY_CTRL_EXT*****PHY_CONTROL_EXT[457:449]*****" hidden="1">128</definedName>
    <definedName name="_phy_fifowe_mis_clr" comment="Bit_Field_PHY_CTRL_EXT*****PHY_CONTROL_EXT[740]*****NOT USED" hidden="1">0</definedName>
    <definedName name="_phy_gatelvl_init_mode" comment="Bit_Field_PHY_CTRL_EXT*****PHY_CONTROL_EXT[521]*****" hidden="1">1</definedName>
    <definedName name="_phy_gatelvl_num_dq0" comment="Bit_Field_PHY_CTRL_EXT*****PHY_CONTROL_EXT[735:732]*****" hidden="1">7</definedName>
    <definedName name="_phy_half_delay" comment="Bit_Field_DDR_PHY_CTRL_1_VAL*****DDR_PHY_CTRL_1[21]*****" hidden="1">IF(_sdram_type="LPDDR2",0,1)</definedName>
    <definedName name="_phy_invert_clk" comment="Bit_Field_DDR_PHY_CTRL_1_VAL*****DDR_PHY_CTRL_1[18]*****" hidden="1">IF(_sdram_type="DDR3/L",1,0)</definedName>
    <definedName name="_phy_mdll_unlock_clr" comment="Bit_Field_PHY_CTRL_EXT*****PHY_CONTROL_EXT[741]*****NOT USED" hidden="1">0</definedName>
    <definedName name="_phy_rd_rl_delay" comment="Bit_Field_DDR_PHY_CTRL_1_VAL*****DDR_PHY_CTRL_1[04:00]*****Read Latency - Needs update" localSheetId="7" hidden="1">MAX(MIN(IF([0]!_ddr_pll_freq &gt; 533, GEL!_t_cl_user + 5, GEL!_t_cl_user + 4),2^5-1),0)</definedName>
    <definedName name="_phy_rd_rl_delay" comment="Bit_Field_DDR_PHY_CTRL_1_VAL*****DDR_PHY_CTRL_1[04:00]*****Read Latency - Needs update" localSheetId="9" hidden="1">MAX(MIN(IF([0]!_ddr_pll_freq &gt; 533, RTOS!_t_cl_user + 5, RTOS!_t_cl_user + 4),2^5-1),0)</definedName>
    <definedName name="_phy_rd_rl_delay" comment="Bit_Field_DDR_PHY_CTRL_1_VAL*****DDR_PHY_CTRL_1[04:00]*****Read Latency - Needs update" localSheetId="5" hidden="1">MAX(MIN(IF([0]!_ddr_pll_freq &gt; 533, 'VREF (LPDDR4)'!_t_cl_user + 5, 'VREF (LPDDR4)'!_t_cl_user + 4),2^5-1),0)</definedName>
    <definedName name="_phy_rd_rl_delay" comment="Bit_Field_DDR_PHY_CTRL_1_VAL*****DDR_PHY_CTRL_1[04:00]*****Read Latency - Needs update" hidden="1">MAX(MIN(IF(_ddr_pll_freq &gt; 533, _t_cl_user + 5, _t_cl_user + 4),2^5-1),0)</definedName>
    <definedName name="_phy_rdc_fifo_rst_err_cnt_clr" comment="Bit_Field_PHY_CTRL_EXT*****PHY_CONTROL_EXT[742]*****NOT USED" hidden="1">0</definedName>
    <definedName name="_phy_rddqs_delay" comment="Bit_Field_PHY_CTRL_EXT*****PHY_CONTROL_EXT[466:458]*****" hidden="1">128</definedName>
    <definedName name="_phy_rdlvl_mask" comment="Bit_Field_DDR_PHY_CTRL_1_VAL*****DDR_PHY_CTRL_1[27]*****Disable feature on Avatar, or just J6Eco?" localSheetId="7" hidden="1">#N/A</definedName>
    <definedName name="_phy_rdlvl_mask" comment="Bit_Field_DDR_PHY_CTRL_1_VAL*****DDR_PHY_CTRL_1[27]*****Disable feature on Avatar, or just J6Eco?" localSheetId="9" hidden="1">#N/A</definedName>
    <definedName name="_phy_rdlvl_mask" comment="Bit_Field_DDR_PHY_CTRL_1_VAL*****DDR_PHY_CTRL_1[27]*****Disable feature on Avatar, or just J6Eco?" localSheetId="5" hidden="1">#N/A</definedName>
    <definedName name="_phy_rdlvl_mask" comment="Bit_Field_DDR_PHY_CTRL_1_VAL*****DDR_PHY_CTRL_1[27]*****Disable feature on Avatar, or just J6Eco?" hidden="1">IF('Title-README'!_soc_name="j6eco",1,IF(_user_lvl_tech="H/W",0,1))</definedName>
    <definedName name="_phy_rdlvlgate_mask" comment="Bit_Field_DDR_PHY_CTRL_1_VAL*****DDR_PHY_CTRL_1[26]*****" hidden="1">IF(_user_lvl_tech="H/W",0,1)</definedName>
    <definedName name="_phy_rdlvlgateinc_int" comment="Bit_Field_EMIF_RDWR_LVL_CTRL_VAL*****RDWR_LVL_CTRL[15:08]*****NOT USED; Incremental leveling not supported by TI" hidden="1">0</definedName>
    <definedName name="_phy_rdlvlgateinc_rmp_int" comment="Bit_Field_EMIF_RDWR_LVL_RMP_CTRL_VAL*****RDWR_LVL_RMP_CTRL[15:08]*****NOT USED; Incremental leveling not supported by TI" hidden="1">0</definedName>
    <definedName name="_phy_rdlvlinc_int" comment="Bit_Field_EMIF_RDWR_LVL_CTRL_VAL*****RDWR_LVL_CTRL[23:16]*****NOT USED; Incremental leveling not supported by TI" hidden="1">0</definedName>
    <definedName name="_phy_rdlvlinc_rmp_int" comment="Bit_Field_EMIF_RDWR_LVL_RMP_CTRL_VAL*****RDWR_LVL_RMP_CTRL[23:16]*****NOT USED; Incremental leveling not supported by TI" hidden="1">0</definedName>
    <definedName name="_phy_rdwrlvl_en" comment="Bit_Field_EMIF_RDWR_LVL_RMP_CTRL_VAL*****RDWR_LVL_RMP_CTRL[31]*****" hidden="1">IF(_user_lvl_tech="H/W",1,0)</definedName>
    <definedName name="_phy_rdwrlvlfull_start" comment="Bit_Field_EMIF_RDWR_LVL_CTRL_VAL*****RDWR_LVL_CTRL[31]*****Always set to 0, controlled in configuration sequence" hidden="1">0</definedName>
    <definedName name="_phy_rdwrlvlinc_pre" comment="Bit_Field_EMIF_RDWR_LVL_CTRL_VAL*****RDWR_LVL_CTRL[30:24]*****NOT USED; Incremental leveling not supported by TI" hidden="1">0</definedName>
    <definedName name="_phy_rdwrlvlinc_rmp_pre" comment="Bit_Field_EMIF_RDWR_LVL_RMP_CTRL_VAL*****RDWR_LVL_RMP_CTRL[30:24]*****NOT USED; Incremental leveling not supported by TI" hidden="1">0</definedName>
    <definedName name="_phy_use_rank0_delays" comment="Bit_Field_PHY_CTRL_EXT*****PHY_CONTROL_EXT[520]*****" hidden="1">0</definedName>
    <definedName name="_phy_wrdata_delay" comment="Bit_Field_PHY_CTRL_EXT*****PHY_CONTROL_EXT[484:476]*****" hidden="1">128</definedName>
    <definedName name="_phy_wrdqs_delay" comment="Bit_Field_PHY_CTRL_EXT*****PHY_CONTROL_EXT[475:467]*****" hidden="1">128</definedName>
    <definedName name="_phy_wrlvl_mask" comment="Bit_Field_DDR_PHY_CTRL_1_VAL*****DDR_PHY_CTRL_1[25]*****" hidden="1">IF(_user_lvl_tech="H/W",0,1)</definedName>
    <definedName name="_phy_wrlvl_num_dq0" comment="Bit_Field_PHY_CTRL_EXT*****PHY_CONTROL_EXT[739:736]*****" hidden="1">7</definedName>
    <definedName name="_phy_wrlvlinc_int" comment="Bit_Field_EMIF_RDWR_LVL_CTRL_VAL*****RDWR_LVL_CTRL[07:00]*****NOT USED; Incremental leveling not supported by TI" hidden="1">0</definedName>
    <definedName name="_phy_wrlvlinc_rmp_int" comment="Bit_Field_EMIF_RDWR_LVL_RMP_CTRL_VAL*****RDWR_LVL_RMP_CTRL[07:00]*****NOT USED; Incremental leveling not supported by TI" hidden="1">0</definedName>
    <definedName name="_prop_vel_microstrip" comment="Constant**********" hidden="1">136</definedName>
    <definedName name="_prop_vel_stripline" comment="Constant**********" hidden="1">170</definedName>
    <definedName name="_rddqs_ratio0" comment="Bit_Field_PHY_CTRL_EXT*****PHY_CONTROL_EXT[149:140]*****OMAP5: 56; Vayu: 50; J6Eco: 47" localSheetId="7" hidden="1">#N/A</definedName>
    <definedName name="_rddqs_ratio0" comment="Bit_Field_PHY_CTRL_EXT*****PHY_CONTROL_EXT[149:140]*****OMAP5: 56; Vayu: 50; J6Eco: 47" localSheetId="9" hidden="1">#N/A</definedName>
    <definedName name="_rddqs_ratio0" comment="Bit_Field_PHY_CTRL_EXT*****PHY_CONTROL_EXT[149:140]*****OMAP5: 56; Vayu: 50; J6Eco: 47" localSheetId="5" hidden="1">#N/A</definedName>
    <definedName name="_rddqs_ratio0" comment="Bit_Field_PHY_CTRL_EXT*****PHY_CONTROL_EXT[149:140]*****OMAP5: 56; Vayu: 50; J6Eco: 47" hidden="1">CHOOSE(MATCH('Title-README'!_soc_name,'Title-README'!_soc_names,0),56,50,47,52)</definedName>
    <definedName name="_rddqs_ratio1" comment="Bit_Field_PHY_CTRL_EXT*****PHY_CONTROL_EXT[169:160]*****OMAP5: 56; Vayu: 50; J6Eco: 47" localSheetId="7" hidden="1">GEL!_rddqs_ratio0</definedName>
    <definedName name="_rddqs_ratio1" comment="Bit_Field_PHY_CTRL_EXT*****PHY_CONTROL_EXT[169:160]*****OMAP5: 56; Vayu: 50; J6Eco: 47" localSheetId="9" hidden="1">RTOS!_rddqs_ratio0</definedName>
    <definedName name="_rddqs_ratio1" comment="Bit_Field_PHY_CTRL_EXT*****PHY_CONTROL_EXT[169:160]*****OMAP5: 56; Vayu: 50; J6Eco: 47" localSheetId="5" hidden="1">'VREF (LPDDR4)'!_rddqs_ratio0</definedName>
    <definedName name="_rddqs_ratio1" comment="Bit_Field_PHY_CTRL_EXT*****PHY_CONTROL_EXT[169:160]*****OMAP5: 56; Vayu: 50; J6Eco: 47" hidden="1">_rddqs_ratio0</definedName>
    <definedName name="_rddqs_ratio2" comment="Bit_Field_PHY_CTRL_EXT*****PHY_CONTROL_EXT[189:180]*****OMAP5: 56; Vayu: 50; J6Eco: 47" localSheetId="7" hidden="1">GEL!_rddqs_ratio0</definedName>
    <definedName name="_rddqs_ratio2" comment="Bit_Field_PHY_CTRL_EXT*****PHY_CONTROL_EXT[189:180]*****OMAP5: 56; Vayu: 50; J6Eco: 47" localSheetId="9" hidden="1">RTOS!_rddqs_ratio0</definedName>
    <definedName name="_rddqs_ratio2" comment="Bit_Field_PHY_CTRL_EXT*****PHY_CONTROL_EXT[189:180]*****OMAP5: 56; Vayu: 50; J6Eco: 47" localSheetId="5" hidden="1">'VREF (LPDDR4)'!_rddqs_ratio0</definedName>
    <definedName name="_rddqs_ratio2" comment="Bit_Field_PHY_CTRL_EXT*****PHY_CONTROL_EXT[189:180]*****OMAP5: 56; Vayu: 50; J6Eco: 47" hidden="1">_rddqs_ratio0</definedName>
    <definedName name="_rddqs_ratio3" comment="Bit_Field_PHY_CTRL_EXT*****PHY_CONTROL_EXT[209:200]*****OMAP5: 56; Vayu: 50; J6Eco: 47" localSheetId="7" hidden="1">GEL!_rddqs_ratio0</definedName>
    <definedName name="_rddqs_ratio3" comment="Bit_Field_PHY_CTRL_EXT*****PHY_CONTROL_EXT[209:200]*****OMAP5: 56; Vayu: 50; J6Eco: 47" localSheetId="9" hidden="1">RTOS!_rddqs_ratio0</definedName>
    <definedName name="_rddqs_ratio3" comment="Bit_Field_PHY_CTRL_EXT*****PHY_CONTROL_EXT[209:200]*****OMAP5: 56; Vayu: 50; J6Eco: 47" localSheetId="5" hidden="1">'VREF (LPDDR4)'!_rddqs_ratio0</definedName>
    <definedName name="_rddqs_ratio3" comment="Bit_Field_PHY_CTRL_EXT*****PHY_CONTROL_EXT[209:200]*****OMAP5: 56; Vayu: 50; J6Eco: 47" hidden="1">_rddqs_ratio0</definedName>
    <definedName name="_rddqs_ratio4" comment="Bit_Field_PHY_CTRL_EXT*****PHY_CONTROL_EXT[229:220]*****OMAP5: 56; Vayu: 50; J6Eco: 47" localSheetId="7" hidden="1">GEL!_rddqs_ratio0</definedName>
    <definedName name="_rddqs_ratio4" comment="Bit_Field_PHY_CTRL_EXT*****PHY_CONTROL_EXT[229:220]*****OMAP5: 56; Vayu: 50; J6Eco: 47" localSheetId="9" hidden="1">RTOS!_rddqs_ratio0</definedName>
    <definedName name="_rddqs_ratio4" comment="Bit_Field_PHY_CTRL_EXT*****PHY_CONTROL_EXT[229:220]*****OMAP5: 56; Vayu: 50; J6Eco: 47" localSheetId="5" hidden="1">'VREF (LPDDR4)'!_rddqs_ratio0</definedName>
    <definedName name="_rddqs_ratio4" comment="Bit_Field_PHY_CTRL_EXT*****PHY_CONTROL_EXT[229:220]*****OMAP5: 56; Vayu: 50; J6Eco: 47" hidden="1">_rddqs_ratio0</definedName>
    <definedName name="_sdram_asr" comment="Bit_Field_EMIF_SDRAM_REF_CTRL_VAL*****EMIF_SDRAM_REF_CTRL[28]*****" hidden="1">0</definedName>
    <definedName name="_sdram_bw" comment="User_Input**********" hidden="1">'[1]Step1-SystemDetails'!$F$23</definedName>
    <definedName name="_sdram_cl" comment="**********" localSheetId="0" hidden="1">INDEX('Title-README'!_sdram_sb_cl,SMALL(IF(1000/_ddr_pll_freq&gt;='Title-README'!_sdram_sb_ck,ROW(INDIRECT(CONCATENATE("1:",ROWS('Title-README'!_sdram_sb_ck)))),""),ROW(INDIRECT("1:1"))))</definedName>
    <definedName name="_sdram_cl" hidden="1">INDEX(_sdram_sb_cl,SMALL(IF(1000/_ddr_pll_freq&gt;=_sdram_sb_ck,ROW(INDIRECT(CONCATENATE("1:",ROWS(_sdram_sb_ck)))),""),ROW(INDIRECT("1:1"))))</definedName>
    <definedName name="_sdram_cl_max" hidden="1">'[1]Step1-SystemDetails'!$F$34</definedName>
    <definedName name="_sdram_cl_val" comment="Bit_Field_EMIF_SDRAM_CONFIG_VAL*****EMIF_SDRAM_CONFIG[13:10] - CAS Latency. The value of this field defines the CAS latency to be used when accessing connected SDRAM devices. Value of 2, 3, 5, and 6 (CAS latency of 2, 3, 1.5, and 2.5) are supported for DD" localSheetId="7" hidden="1">MAX(MIN(IF([0]!_sdram_type="DDR3/L",2 * (GEL!_t_cl_user - 4),GEL!_t_cl_user),2^4-1),0)</definedName>
    <definedName name="_sdram_cl_val" comment="Bit_Field_EMIF_SDRAM_CONFIG_VAL*****EMIF_SDRAM_CONFIG[13:10] - CAS Latency. The value of this field defines the CAS latency to be used when accessing connected SDRAM devices. Value of 2, 3, 5, and 6 (CAS latency of 2, 3, 1.5, and 2.5) are supported for DD" localSheetId="9" hidden="1">MAX(MIN(IF([0]!_sdram_type="DDR3/L",2 * (RTOS!_t_cl_user - 4),RTOS!_t_cl_user),2^4-1),0)</definedName>
    <definedName name="_sdram_cl_val" comment="Bit_Field_EMIF_SDRAM_CONFIG_VAL*****EMIF_SDRAM_CONFIG[13:10] - CAS Latency. The value of this field defines the CAS latency to be used when accessing connected SDRAM devices. Value of 2, 3, 5, and 6 (CAS latency of 2, 3, 1.5, and 2.5) are supported for DD" localSheetId="5" hidden="1">MAX(MIN(IF([0]!_sdram_type="DDR3/L",2 * ('VREF (LPDDR4)'!_t_cl_user - 4),'VREF (LPDDR4)'!_t_cl_user),2^4-1),0)</definedName>
    <definedName name="_sdram_cl_val" comment="Bit_Field_EMIF_SDRAM_CONFIG_VAL*****EMIF_SDRAM_CONFIG[13:10] - CAS Latency. The value of this field defines the CAS latency to be used when accessing connected SDRAM devices. Value of 2, 3, 5, and 6 (CAS latency of 2, 3, 1.5, and 2.5) are supported for DD" hidden="1">MAX(MIN(IF(_sdram_type="DDR3/L",2 * (_t_cl_user - 4),_t_cl_user),2^4-1),0)</definedName>
    <definedName name="_sdram_col_bits" comment="Formula-JEDEC**********" localSheetId="0" hidden="1">IF(_sdram_type="DDR3/L",'Title-README'!_sdram_col_bits_ddr3,IF(_sdram_type="DDR2",'Title-README'!_sdram_col_bits_ddr2,'Title-README'!_sdram_col_bits_lpddr2))</definedName>
    <definedName name="_sdram_col_bits" hidden="1">IF(_sdram_type="DDR3/L",_sdram_col_bits_ddr3,IF(_sdram_type="DDR2",_sdram_col_bits_ddr2,_sdram_col_bits_lpddr2))</definedName>
    <definedName name="_sdram_col_bits_ddr2" comment="Formula-JEDEC**********JESD79-2F; 256Mb[x4:11; x8:10; x16:9]; Others[x4:11; x8/x16:10]; Not supporting 128 Mb; Adding special case for ISSI 512Mb x32 DDR2" localSheetId="0" hidden="1">IF(_sdram_width=32,9,IF(AND(_sdram_density=0.25,_sdram_width=16),9,IF(_sdram_width=4,11,10)))</definedName>
    <definedName name="_sdram_col_bits_ddr2" hidden="1">IF(_sdram_width=32,9,IF(AND(_sdram_density=0.25,_sdram_width=16),9,IF(_sdram_width=4,11,10)))</definedName>
    <definedName name="_sdram_col_bits_ddr3" comment="Formula-JEDEC**********JESD79-3F; 8Gb[x4:12; x8:11; x16:10]; Others[x4:11; x8/x16:10]" localSheetId="0" hidden="1">IF(AND(_sdram_density=8,_sdram_width=4),12,IF(OR(AND(_sdram_density=8,_sdram_width=8),_sdram_width=4),11,10))</definedName>
    <definedName name="_sdram_col_bits_ddr3" hidden="1">IF(AND(_sdram_density=8,_sdram_width=4),12,IF(OR(AND(_sdram_density=8,_sdram_width=8),_sdram_width=4),11,10))</definedName>
    <definedName name="_sdram_col_bits_lpddr2" comment="Formula-JEDEC**********Supporting LPDDR2-S4" localSheetId="0" hidden="1">IF(_sdram_density&lt;0.5,IF(_sdram_width=32,8,IF(_sdram_width=16,9,10)),IF(_sdram_density&gt;2,IF(_sdram_width=32,10,IF(_sdram_width=16,11,12)),IF(_sdram_width=32,9,IF(_sdram_width=16,10,11))))</definedName>
    <definedName name="_sdram_col_bits_lpddr2" hidden="1">IF(_sdram_density&lt;0.5,IF(_sdram_width=32,8,IF(_sdram_width=16,9,10)),IF(_sdram_density&gt;2,IF(_sdram_width=32,10,IF(_sdram_width=16,11,12)),IF(_sdram_width=32,9,IF(_sdram_width=16,10,11))))</definedName>
    <definedName name="_sdram_config_ddr2_dqs" comment="Bit_Field_EMIF_SDRAM_CONFIG_VAL*****EMIF_SDRAM_CONFIG[23] - DDR2 and LPDDR2 differential DQS enable. Set to 0 for single ended DQS. Set to 1 for differential DQS.*****From TRM: NOT SUPPORTED, Set to 1 for compatibility" hidden="1">1</definedName>
    <definedName name="_sdram_config_dll_dis" comment="Bit_Field_EMIF_SDRAM_CONFIG_VAL*****EMIF_SDRAM_CONFIG[20] - Disable DLL select. Set to 1 to disable DLL inside SDRAM.*****" hidden="1">0</definedName>
    <definedName name="_sdram_config_drive_imp" comment="Bit_Field_EMIF_SDRAM_CONFIG_VAL*****EMIF_SDRAM_CONFIG[19:18] - SDRAM drive strength. For DDR1/DDR2, set to 0 for normal, and set to 1 for weak drive strength. For DDR3, set to 0 for RZQ/6 and set to 1 for RZQ/7. For LPDDR1, set to 0 for full, set to 1 for" localSheetId="7" hidden="1">#N/A</definedName>
    <definedName name="_sdram_config_drive_imp" comment="Bit_Field_EMIF_SDRAM_CONFIG_VAL*****EMIF_SDRAM_CONFIG[19:18] - SDRAM drive strength. For DDR1/DDR2, set to 0 for normal, and set to 1 for weak drive strength. For DDR3, set to 0 for RZQ/6 and set to 1 for RZQ/7. For LPDDR1, set to 0 for full, set to 1 for" localSheetId="9" hidden="1">#N/A</definedName>
    <definedName name="_sdram_config_drive_imp" comment="Bit_Field_EMIF_SDRAM_CONFIG_VAL*****EMIF_SDRAM_CONFIG[19:18] - SDRAM drive strength. For DDR1/DDR2, set to 0 for normal, and set to 1 for weak drive strength. For DDR3, set to 0 for RZQ/6 and set to 1 for RZQ/7. For LPDDR1, set to 0 for full, set to 1 for" localSheetId="5" hidden="1">#N/A</definedName>
    <definedName name="_sdram_config_drive_imp" comment="Bit_Field_EMIF_SDRAM_CONFIG_VAL*****EMIF_SDRAM_CONFIG[19:18] - SDRAM drive strength. For DDR1/DDR2, set to 0 for normal, and set to 1 for weak drive strength. For DDR3, set to 0 for RZQ/6 and set to 1 for RZQ/7. For LPDDR1, set to 0 for full, set to 1 for" hidden="1">MAX(MIN(IF(_sdram_type="DDR3/L",MATCH(_sdram_drive_imp,'Title-README'!_ddr3_drive_imp,0)-1,IF(_sdram_type="DDR2",MATCH(_sdram_drive_imp,'Title-README'!_ddr2_drive_imp,0)-1,0)),2^2-1),0)</definedName>
    <definedName name="_sdram_config_dyn_rtt" comment="Bit_Field_EMIF_SDRAM_CONFIG_VAL*****EMIF_SDRAM_CONFIG[22:21] - DDR3 Dynamic ODT. Set to 0 to turn off dynamic ODT. Set to 1 for RZQ/4 and set to 2 for RZQ/2. All other values are reserved.*****From TRM: NOT SUPPORTED, Set to 0 to turn off" localSheetId="7" hidden="1">#N/A</definedName>
    <definedName name="_sdram_config_dyn_rtt" comment="Bit_Field_EMIF_SDRAM_CONFIG_VAL*****EMIF_SDRAM_CONFIG[22:21] - DDR3 Dynamic ODT. Set to 0 to turn off dynamic ODT. Set to 1 for RZQ/4 and set to 2 for RZQ/2. All other values are reserved.*****From TRM: NOT SUPPORTED, Set to 0 to turn off" localSheetId="9" hidden="1">#N/A</definedName>
    <definedName name="_sdram_config_dyn_rtt" comment="Bit_Field_EMIF_SDRAM_CONFIG_VAL*****EMIF_SDRAM_CONFIG[22:21] - DDR3 Dynamic ODT. Set to 0 to turn off dynamic ODT. Set to 1 for RZQ/4 and set to 2 for RZQ/2. All other values are reserved.*****From TRM: NOT SUPPORTED, Set to 0 to turn off" localSheetId="5" hidden="1">#N/A</definedName>
    <definedName name="_sdram_config_dyn_rtt" comment="Bit_Field_EMIF_SDRAM_CONFIG_VAL*****EMIF_SDRAM_CONFIG[22:21] - DDR3 Dynamic ODT. Set to 0 to turn off dynamic ODT. Set to 1 for RZQ/4 and set to 2 for RZQ/2. All other values are reserved.*****From TRM: NOT SUPPORTED, Set to 0 to turn off" hidden="1">MAX(MIN(IF(_sdram_type="DDR3/L",MATCH(_sdram_rttwr,'Title-README'!_ddr3_rttwr,0)-1,0),2^2-1),0)</definedName>
    <definedName name="_sdram_config_ebank" comment="Bit_Field_EMIF_SDRAM_CONFIG_VAL*****EMIF_SDRAM_CONFIG[03] - External chip select setup. Defines whether SDRAM accesses will use 1 or 2 chip select lines. Set to 0 to use pad_cs_o_n[0] only. Set to 1 to use pad_cs_o_n[1:0]. This bit will automaticlly be se" hidden="1">MAX(MIN(_sdram_ebank-1,1),0)</definedName>
    <definedName name="_sdram_config_ibank" comment="JEDEC_Lookup**********" localSheetId="0" hidden="1">IF(_sdram_type="DDR3/L",_sdram_config_ibank_ddr3,IF(_sdram_type="DDR2",'Title-README'!_sdram_config_ibank_ddr2,'Title-README'!_sdram_config_ibank_lpddr2))</definedName>
    <definedName name="_sdram_config_ibank" hidden="1">IF(_sdram_type="DDR3/L",_sdram_config_ibank_ddr3,IF(_sdram_type="DDR2",_sdram_config_ibank_ddr2,_sdram_config_ibank_lpddr2))</definedName>
    <definedName name="_sdram_config_ibank_ddr2" comment="JEDEC_Lookup**********" localSheetId="0" hidden="1">IF(_sdram_density&lt;1,4,8)</definedName>
    <definedName name="_sdram_config_ibank_ddr2" hidden="1">IF(_sdram_density&lt;1,4,8)</definedName>
    <definedName name="_sdram_config_ibank_ddr3" hidden="1">8</definedName>
    <definedName name="_sdram_config_ibank_lpddr2" comment="JEDEC_Lookup**********Supporting LPDDR2-S4" localSheetId="0" hidden="1">IF(_sdram_density&lt;1,4,8)</definedName>
    <definedName name="_sdram_config_ibank_lpddr2" hidden="1">IF(_sdram_density&lt;1,4,8)</definedName>
    <definedName name="_sdram_config_ibank_pos" comment="Bit_Field_EMIF_SDRAM_CONFIG_VAL*****EMIF_SDRAM_CONFIG[28:27] - Internal bank position. Set to 0 to assign internal bank address bits from lower OCP address bits as shown in tables. Set to 1, 2, or 3 to assign internal bank address bits from higher OCP add" hidden="1">0</definedName>
    <definedName name="_sdram_config_narrow_mode" comment="Bit_Field_EMIF_SDRAM_CONFIG_VAL*****EMIF_SDRAM_CONFIG[15:14] - SDRAM data bus width. Set to 0 for 32-bit and set to 1 for 16-bit. All other values are reserved.*****Also used for CTRL_WKUP_EMIF*_SDRAM_CONFIG_EXT" hidden="1">MAX(MIN(IF(_sdram_bw=16,1,0),2^2-1),0)</definedName>
    <definedName name="_sdram_config_pagesize" comment="Bit_Field_EMIF_SDRAM_CONFIG_VAL*****EMIF_SDRAM_CONFIG[02:00] - Page Size. Defines the internal page size of connected SDRAM devices. Set to 0 for 256-word page (8 column bits), set to 1 for 512-word page (9 column bits), set to 2 for 1024-word page (10 co" localSheetId="7" hidden="1">#N/A</definedName>
    <definedName name="_sdram_config_pagesize" comment="Bit_Field_EMIF_SDRAM_CONFIG_VAL*****EMIF_SDRAM_CONFIG[02:00] - Page Size. Defines the internal page size of connected SDRAM devices. Set to 0 for 256-word page (8 column bits), set to 1 for 512-word page (9 column bits), set to 2 for 1024-word page (10 co" localSheetId="9" hidden="1">#N/A</definedName>
    <definedName name="_sdram_config_pagesize" comment="Bit_Field_EMIF_SDRAM_CONFIG_VAL*****EMIF_SDRAM_CONFIG[02:00] - Page Size. Defines the internal page size of connected SDRAM devices. Set to 0 for 256-word page (8 column bits), set to 1 for 512-word page (9 column bits), set to 2 for 1024-word page (10 co" localSheetId="5" hidden="1">#N/A</definedName>
    <definedName name="_sdram_config_pagesize" comment="Bit_Field_EMIF_SDRAM_CONFIG_VAL*****EMIF_SDRAM_CONFIG[02:00] - Page Size. Defines the internal page size of connected SDRAM devices. Set to 0 for 256-word page (8 column bits), set to 1 for 512-word page (9 column bits), set to 2 for 1024-word page (10 co" hidden="1">MAX(MIN('Title-README'!_sdram_col_bits - 8,2^3-1),0)</definedName>
    <definedName name="_sdram_config_rowsize" comment="Bit_Field_EMIF_SDRAM_CONFIG_VAL*****EMIF_SDRAM_CONFIG[09:07] - Row Size. Defines the number of row address bits of connected SDRAM devices. Set to 0 for 9 row bits, set to 1 for 10 row bits, set to 2 for 11 row bits, set to 3 for 12 row bits, set to 4 for" localSheetId="7" hidden="1">MAX(MIN(GEL!_sdram_row_bits - 9,2^3-1),0)</definedName>
    <definedName name="_sdram_config_rowsize" comment="Bit_Field_EMIF_SDRAM_CONFIG_VAL*****EMIF_SDRAM_CONFIG[09:07] - Row Size. Defines the number of row address bits of connected SDRAM devices. Set to 0 for 9 row bits, set to 1 for 10 row bits, set to 2 for 11 row bits, set to 3 for 12 row bits, set to 4 for" localSheetId="9" hidden="1">MAX(MIN(RTOS!_sdram_row_bits - 9,2^3-1),0)</definedName>
    <definedName name="_sdram_config_rowsize" comment="Bit_Field_EMIF_SDRAM_CONFIG_VAL*****EMIF_SDRAM_CONFIG[09:07] - Row Size. Defines the number of row address bits of connected SDRAM devices. Set to 0 for 9 row bits, set to 1 for 10 row bits, set to 2 for 11 row bits, set to 3 for 12 row bits, set to 4 for" localSheetId="5" hidden="1">MAX(MIN('VREF (LPDDR4)'!_sdram_row_bits - 9,2^3-1),0)</definedName>
    <definedName name="_sdram_config_rowsize" comment="Bit_Field_EMIF_SDRAM_CONFIG_VAL*****EMIF_SDRAM_CONFIG[09:07] - Row Size. Defines the number of row address bits of connected SDRAM devices. Set to 0 for 9 row bits, set to 1 for 10 row bits, set to 2 for 11 row bits, set to 3 for 12 row bits, set to 4 for" hidden="1">MAX(MIN(_sdram_row_bits - 9,2^3-1),0)</definedName>
    <definedName name="_sdram_config_rtt" comment="Bit_Field_EMIF_SDRAM_CONFIG_VAL*****EMIF_SDRAM_CONFIG[26:24] - DDR2 and DDR3 termination resistor value. Set to 0 to disable termination. For DDR2, set to 1 for 75 ohm, set to 2 for 150 ohm, and set to 3 for 50 ohm. For DDR3, set to 1 for RZQ/4, set to 2 " localSheetId="7" hidden="1">#N/A</definedName>
    <definedName name="_sdram_config_rtt" comment="Bit_Field_EMIF_SDRAM_CONFIG_VAL*****EMIF_SDRAM_CONFIG[26:24] - DDR2 and DDR3 termination resistor value. Set to 0 to disable termination. For DDR2, set to 1 for 75 ohm, set to 2 for 150 ohm, and set to 3 for 50 ohm. For DDR3, set to 1 for RZQ/4, set to 2 " localSheetId="9" hidden="1">#N/A</definedName>
    <definedName name="_sdram_config_rtt" comment="Bit_Field_EMIF_SDRAM_CONFIG_VAL*****EMIF_SDRAM_CONFIG[26:24] - DDR2 and DDR3 termination resistor value. Set to 0 to disable termination. For DDR2, set to 1 for 75 ohm, set to 2 for 150 ohm, and set to 3 for 50 ohm. For DDR3, set to 1 for RZQ/4, set to 2 " localSheetId="5" hidden="1">#N/A</definedName>
    <definedName name="_sdram_config_rtt" comment="Bit_Field_EMIF_SDRAM_CONFIG_VAL*****EMIF_SDRAM_CONFIG[26:24] - DDR2 and DDR3 termination resistor value. Set to 0 to disable termination. For DDR2, set to 1 for 75 ohm, set to 2 for 150 ohm, and set to 3 for 50 ohm. For DDR3, set to 1 for RZQ/4, set to 2 " hidden="1">MAX(MIN(IF(_sdram_type="DDR3/L",MATCH(_sdram_rtt,'Title-README'!_ddr3_rtt,0)-1,IF(_sdram_type="DDR2",MATCH(_sdram_rtt,'Title-README'!_ddr2_rtt,0)-1,0)),2^3-1),0)</definedName>
    <definedName name="_sdram_config_type" comment="Bit_Field_EMIF_SDRAM_CONFIG_VAL*****EMIF_SDRAM_CONFIG[31:29] - SDRAM Type selection. Set to 0 for DDR1, set to 1 for LPDDR1, set to 2 for DDR2, set to 3 for DDR3, and set to 4 for LPDDR2. All other values are reserved.*****" hidden="1">MAX(MIN(MATCH(_sdram_type,_sdram_types,0)-1,2^3-1),0)</definedName>
    <definedName name="_sdram_cs1nvmen" comment="Bit_Field_EMIF_SDRAM_CONFIG_2_VAL*****EMIF_SDRAM_CONFIG2[30]*****LPDDR2-NVM" hidden="1">0</definedName>
    <definedName name="_sdram_cwl" comment="**********" localSheetId="0" hidden="1">IF(_sdram_type="DDR3/L",INDEX('Title-README'!_sdram_sb_cwl,SMALL(IF(1000/_ddr_pll_freq&gt;='Title-README'!_sdram_sb_ck,ROW(INDIRECT(CONCATENATE("1:",ROWS('Title-README'!_sdram_sb_ck)))),""),ROW(INDIRECT("1:1")))),0)</definedName>
    <definedName name="_sdram_cwl" hidden="1">IF(_sdram_type="DDR3/L",INDEX(_sdram_sb_cwl,SMALL(IF(1000/_ddr_pll_freq&gt;=_sdram_sb_ck,ROW(INDIRECT(CONCATENATE("1:",ROWS(_sdram_sb_ck)))),""),ROW(INDIRECT("1:1")))),0)</definedName>
    <definedName name="_sdram_cwl_val" comment="Bit_Field_EMIF_SDRAM_CONFIG_VAL*****EMIF_SDRAM_CONFIG[17:16] - DDR3 CAS Write latency. Value of 0, 1, 2, and 3 (CAS write latency of 5, 6, 7, and 8) are supported. Use the lowest value supported for best performance. All other values are reserved.*****" hidden="1">MAX(MIN(_t_cwl_user - 5,2^2-1),0)</definedName>
    <definedName name="_sdram_data_rate" hidden="1">'[1]Step1-SystemDetails'!$F$31</definedName>
    <definedName name="_sdram_density" hidden="1">'[1]Step1-SystemDetails'!$F$32</definedName>
    <definedName name="_sdram_density_mult" comment="JEDEC_Lookup**********Add LPDDR2" localSheetId="7" hidden="1">#N/A</definedName>
    <definedName name="_sdram_density_mult" comment="JEDEC_Lookup**********Add LPDDR2" localSheetId="9" hidden="1">#N/A</definedName>
    <definedName name="_sdram_density_mult" comment="JEDEC_Lookup**********Add LPDDR2" localSheetId="5" hidden="1">#N/A</definedName>
    <definedName name="_sdram_density_mult" comment="JEDEC_Lookup**********Add LPDDR2" hidden="1">IF(_sdram_type="DDR2",MATCH(_sdram_density,'Title-README'!_ddr2_densities,0)+27,IF(_sdram_type="DDR3/L",MATCH(_sdram_density,'Title-README'!_ddr3_densities,0)+28,MATCH(_sdram_density,'Title-README'!_lpddr2_densities,0)+27))</definedName>
    <definedName name="_sdram_drive_imp" hidden="1">'[1]Step1-SystemDetails'!$F$41</definedName>
    <definedName name="_sdram_ebank" hidden="1">'[1]Step1-SystemDetails'!$F$24</definedName>
    <definedName name="_sdram_ebank_pos" comment="Bit_Field_EMIF_SDRAM_CONFIG_2_VAL*****EMIF_SDRAM_CONFIG2[27]*****Set to 0x0 to interleave across banks. Only recommended to set to 0x1 with partial array self-refresh, where performance can be traded off for power savings. Update for flexibility in v2.x?" hidden="1">0</definedName>
    <definedName name="_sdram_ibank_val" comment="Bit_Field_EMIF_SDRAM_CONFIG_VAL*****EMIF_SDRAM_CONFIG[06:04] - Internal Bank setup. Defines number of banks inside connected SDRAM devices. Set to 0 for 1 bank, set to 1 for 2 banks, set to 2 for 4 banks, and set to 3 for 8 banks. All other values are res" localSheetId="7" hidden="1">#N/A</definedName>
    <definedName name="_sdram_ibank_val" comment="Bit_Field_EMIF_SDRAM_CONFIG_VAL*****EMIF_SDRAM_CONFIG[06:04] - Internal Bank setup. Defines number of banks inside connected SDRAM devices. Set to 0 for 1 bank, set to 1 for 2 banks, set to 2 for 4 banks, and set to 3 for 8 banks. All other values are res" localSheetId="9" hidden="1">#N/A</definedName>
    <definedName name="_sdram_ibank_val" comment="Bit_Field_EMIF_SDRAM_CONFIG_VAL*****EMIF_SDRAM_CONFIG[06:04] - Internal Bank setup. Defines number of banks inside connected SDRAM devices. Set to 0 for 1 bank, set to 1 for 2 banks, set to 2 for 4 banks, and set to 3 for 8 banks. All other values are res" localSheetId="5" hidden="1">#N/A</definedName>
    <definedName name="_sdram_ibank_val" comment="Bit_Field_EMIF_SDRAM_CONFIG_VAL*****EMIF_SDRAM_CONFIG[06:04] - Internal Bank setup. Defines number of banks inside connected SDRAM devices. Set to 0 for 1 bank, set to 1 for 2 banks, set to 2 for 4 banks, and set to 3 for 8 banks. All other values are res" hidden="1">MAX(MIN(LOG('Title-README'!_sdram_config_ibank,2),2^3-1),0)</definedName>
    <definedName name="_sdram_initref_dis" comment="Bit_Field_EMIF_SDRAM_REF_CTRL_VAL*****EMIF_SDRAM_REF_CTRL[31]*****" hidden="1">0</definedName>
    <definedName name="_sdram_pagesize" comment="**********" localSheetId="0" hidden="1">2^'Title-README'!_sdram_col_bits * _sdram_width / 8</definedName>
    <definedName name="_sdram_pagesize" hidden="1">2^_sdram_col_bits * _sdram_width / 8</definedName>
    <definedName name="_sdram_pagesize_list" comment="**********" hidden="1">{256;512;1024;2048}</definedName>
    <definedName name="_sdram_pasr" comment="Bit_Field_EMIF_SDRAM_REF_CTRL_VAL*****EMIF_SDRAM_REF_CTRL[26:24]*****" hidden="1">0</definedName>
    <definedName name="_sdram_rdbnum" comment="Bit_Field_EMIF_SDRAM_CONFIG_2_VAL*****EMIF_SDRAM_CONFIG2[05:04]*****LPDDR2-NVM" hidden="1">0</definedName>
    <definedName name="_sdram_rdbsize" comment="Bit_Field_EMIF_SDRAM_CONFIG_2_VAL*****EMIF_SDRAM_CONFIG2[02:00]*****LPDDR2-NVM" hidden="1">0</definedName>
    <definedName name="_sdram_row_bits" comment="Math**********" localSheetId="7" hidden="1">#N/A</definedName>
    <definedName name="_sdram_row_bits" comment="Math**********" localSheetId="9" hidden="1">#N/A</definedName>
    <definedName name="_sdram_row_bits" comment="Math**********" localSheetId="5" hidden="1">#N/A</definedName>
    <definedName name="_sdram_row_bits" comment="Math**********" hidden="1">LOG(2^_sdram_density_mult/_sdram_width/'Title-README'!_sdram_config_ibank/2^'Title-README'!_sdram_col_bits,2)</definedName>
    <definedName name="_sdram_rtt" hidden="1">'[1]Step1-SystemDetails'!$F$39</definedName>
    <definedName name="_sdram_rttwr" hidden="1">'[1]Step1-SystemDetails'!$F$40</definedName>
    <definedName name="_sdram_sb" comment="**********" localSheetId="0" hidden="1">MATCH(_sdram_data_rate + _sdram_cl_max,'Title-README'!_sdram_sb_lookup,0)</definedName>
    <definedName name="_sdram_sb" hidden="1">MATCH(_sdram_data_rate + _sdram_cl_max,_sdram_sb_lookup,0)</definedName>
    <definedName name="_sdram_sb_ck" comment="**********" localSheetId="0" hidden="1">IF(_sdram_type="DDR2",CHOOSE('Title-README'!_sdram_sb,'Title-README'!_ddr2_sb_403_ck,'Title-README'!_ddr2_sb_404_ck,'Title-README'!_ddr2_sb_536_ck,'Title-README'!_ddr2_sb_537_ck,'Title-README'!_ddr2_sb_671_ck,'Title-README'!_ddr2_sb_672_ck,'Title-README'!_ddr2_sb_804_ck,'Title-README'!_ddr2_sb_805_ck,'Title-README'!_ddr2_sb_806_ck),IF(_sdram_type="DDR3/L",CHOOSE('Title-README'!_sdram_sb,'Title-README'!_ddr3_sb_805_ck,'Title-README'!_ddr3_sb_806_ck,'Title-README'!_ddr3_sb_1072_ck,'Title-README'!_ddr3_sb_1073_ck,'Title-README'!_ddr3_sb_1074_ck,'Title-README'!_ddr3_sb_1340_ck,'Title-README'!_ddr3_sb_1341_ck,'Title-README'!_ddr3_sb_1342_ck,'Title-README'!_ddr3_sb_1343_ck,'Title-README'!_ddr3_sb_1608_ck,'Title-README'!_ddr3_sb_1609_ck,'Title-README'!_ddr3_sb_1610_ck,'Title-README'!_ddr3_sb_1611_ck,'Title-README'!_ddr3_sb_1876_ck,'Title-README'!_ddr3_sb_1877_ck,'Title-README'!_ddr3_sb_1878_ck,'Title-README'!_ddr3_sb_1879_ck,'Title-README'!_ddr3_sb_2144_ck,'Title-README'!_ddr3_sb_2145_ck,'Title-README'!_ddr3_sb_2146_ck,'Title-README'!_ddr3_sb_2147_ck),CHOOSE('Title-README'!_sdram_sb,'Title-README'!_lpddr2_sb_336_ck,'Title-README'!_lpddr2_sb_403_ck,'Title-README'!_lpddr2_sb_537_ck,'Title-README'!_lpddr2_sb_672_ck,'Title-README'!_lpddr2_sb_806_ck,'Title-README'!_lpddr2_sb_940_ck,'Title-README'!_lpddr2_sb_1074_ck)))</definedName>
    <definedName name="_sdram_sb_ck" hidden="1">IF(_sdram_type="DDR2",CHOOSE(_sdram_sb,_ddr2_sb_403_ck,_ddr2_sb_404_ck,_ddr2_sb_536_ck,_ddr2_sb_537_ck,_ddr2_sb_671_ck,_ddr2_sb_672_ck,_ddr2_sb_804_ck,_ddr2_sb_805_ck,_ddr2_sb_806_ck),IF(_sdram_type="DDR3/L",CHOOSE(_sdram_sb,_ddr3_sb_805_ck,_ddr3_sb_806_ck,_ddr3_sb_1072_ck,_ddr3_sb_1073_ck,_ddr3_sb_1074_ck,_ddr3_sb_1340_ck,_ddr3_sb_1341_ck,_ddr3_sb_1342_ck,_ddr3_sb_1343_ck,_ddr3_sb_1608_ck,_ddr3_sb_1609_ck,_ddr3_sb_1610_ck,_ddr3_sb_1611_ck,_ddr3_sb_1876_ck,_ddr3_sb_1877_ck,_ddr3_sb_1878_ck,_ddr3_sb_1879_ck,_ddr3_sb_2144_ck,_ddr3_sb_2145_ck,_ddr3_sb_2146_ck,_ddr3_sb_2147_ck),CHOOSE(_sdram_sb,_lpddr2_sb_336_ck,_lpddr2_sb_403_ck,_lpddr2_sb_537_ck,_lpddr2_sb_672_ck,_lpddr2_sb_806_ck,_lpddr2_sb_940_ck,_lpddr2_sb_1074_ck)))</definedName>
    <definedName name="_sdram_sb_cl" comment="**********" localSheetId="0" hidden="1">IF(_sdram_type="DDR2",CHOOSE('Title-README'!_sdram_sb,'Title-README'!_ddr2_sb_403_cl,'Title-README'!_ddr2_sb_404_cl,'Title-README'!_ddr2_sb_536_cl,'Title-README'!_ddr2_sb_537_cl,'Title-README'!_ddr2_sb_671_cl,'Title-README'!_ddr2_sb_672_cl,'Title-README'!_ddr2_sb_804_cl,'Title-README'!_ddr2_sb_805_cl,'Title-README'!_ddr2_sb_806_cl),IF(_sdram_type="DDR3/L",CHOOSE('Title-README'!_sdram_sb,'Title-README'!_ddr3_sb_805_cl,'Title-README'!_ddr3_sb_806_cl,'Title-README'!_ddr3_sb_1072_cl,'Title-README'!_ddr3_sb_1073_cl,'Title-README'!_ddr3_sb_1074_cl,'Title-README'!_ddr3_sb_1340_cl,'Title-README'!_ddr3_sb_1341_cl,'Title-README'!_ddr3_sb_1342_cl,'Title-README'!_ddr3_sb_1343_cl,'Title-README'!_ddr3_sb_1608_cl,'Title-README'!_ddr3_sb_1609_cl,'Title-README'!_ddr3_sb_1610_cl,'Title-README'!_ddr3_sb_1611_cl,'Title-README'!_ddr3_sb_1876_cl,'Title-README'!_ddr3_sb_1877_cl,'Title-README'!_ddr3_sb_1878_cl,'Title-README'!_ddr3_sb_1879_cl,'Title-README'!_ddr3_sb_2144_cl,'Title-README'!_ddr3_sb_2145_cl,'Title-README'!_ddr3_sb_2146_cl,'Title-README'!_ddr3_sb_2147_cl),CHOOSE('Title-README'!_sdram_sb,'Title-README'!_lpddr2_sb_336_cl,'Title-README'!_lpddr2_sb_403_cl,'Title-README'!_lpddr2_sb_537_cl,'Title-README'!_lpddr2_sb_672_cl,'Title-README'!_lpddr2_sb_806_cl,'Title-README'!_lpddr2_sb_940_cl,'Title-README'!_lpddr2_sb_1074_cl)))</definedName>
    <definedName name="_sdram_sb_cl" hidden="1">IF(_sdram_type="DDR2",CHOOSE(_sdram_sb,_ddr2_sb_403_cl,_ddr2_sb_404_cl,_ddr2_sb_536_cl,_ddr2_sb_537_cl,_ddr2_sb_671_cl,_ddr2_sb_672_cl,_ddr2_sb_804_cl,_ddr2_sb_805_cl,_ddr2_sb_806_cl),IF(_sdram_type="DDR3/L",CHOOSE(_sdram_sb,_ddr3_sb_805_cl,_ddr3_sb_806_cl,_ddr3_sb_1072_cl,_ddr3_sb_1073_cl,_ddr3_sb_1074_cl,_ddr3_sb_1340_cl,_ddr3_sb_1341_cl,_ddr3_sb_1342_cl,_ddr3_sb_1343_cl,_ddr3_sb_1608_cl,_ddr3_sb_1609_cl,_ddr3_sb_1610_cl,_ddr3_sb_1611_cl,_ddr3_sb_1876_cl,_ddr3_sb_1877_cl,_ddr3_sb_1878_cl,_ddr3_sb_1879_cl,_ddr3_sb_2144_cl,_ddr3_sb_2145_cl,_ddr3_sb_2146_cl,_ddr3_sb_2147_cl),CHOOSE(_sdram_sb,_lpddr2_sb_336_cl,_lpddr2_sb_403_cl,_lpddr2_sb_537_cl,_lpddr2_sb_672_cl,_lpddr2_sb_806_cl,_lpddr2_sb_940_cl,_lpddr2_sb_1074_cl)))</definedName>
    <definedName name="_sdram_sb_cwl" comment="**********" localSheetId="0" hidden="1">CHOOSE('Title-README'!_sdram_sb,'Title-README'!_ddr3_sb_805_cwl,'Title-README'!_ddr3_sb_806_cwl,'Title-README'!_ddr3_sb_1072_cwl,'Title-README'!_ddr3_sb_1073_cwl,'Title-README'!_ddr3_sb_1074_cwl,'Title-README'!_ddr3_sb_1340_cwl,'Title-README'!_ddr3_sb_1341_cwl,'Title-README'!_ddr3_sb_1342_cwl,'Title-README'!_ddr3_sb_1343_cwl,'Title-README'!_ddr3_sb_1608_cwl,'Title-README'!_ddr3_sb_1609_cwl,'Title-README'!_ddr3_sb_1610_cwl,'Title-README'!_ddr3_sb_1611_cwl,'Title-README'!_ddr3_sb_1876_cwl,'Title-README'!_ddr3_sb_1877_cwl,'Title-README'!_ddr3_sb_1878_cwl,'Title-README'!_ddr3_sb_1879_cwl,'Title-README'!_ddr3_sb_2144_cwl,'Title-README'!_ddr3_sb_2145_cwl,'Title-README'!_ddr3_sb_2146_cwl,'Title-README'!_ddr3_sb_2147_cwl)</definedName>
    <definedName name="_sdram_sb_cwl" hidden="1">CHOOSE(_sdram_sb,_ddr3_sb_805_cwl,_ddr3_sb_806_cwl,_ddr3_sb_1072_cwl,_ddr3_sb_1073_cwl,_ddr3_sb_1074_cwl,_ddr3_sb_1340_cwl,_ddr3_sb_1341_cwl,_ddr3_sb_1342_cwl,_ddr3_sb_1343_cwl,_ddr3_sb_1608_cwl,_ddr3_sb_1609_cwl,_ddr3_sb_1610_cwl,_ddr3_sb_1611_cwl,_ddr3_sb_1876_cwl,_ddr3_sb_1877_cwl,_ddr3_sb_1878_cwl,_ddr3_sb_1879_cwl,_ddr3_sb_2144_cwl,_ddr3_sb_2145_cwl,_ddr3_sb_2146_cwl,_ddr3_sb_2147_cwl)</definedName>
    <definedName name="_sdram_sb_list" comment="**********" localSheetId="7" hidden="1">#N/A</definedName>
    <definedName name="_sdram_sb_list" comment="**********" localSheetId="9" hidden="1">#N/A</definedName>
    <definedName name="_sdram_sb_list" comment="**********" localSheetId="5" hidden="1">#N/A</definedName>
    <definedName name="_sdram_sb_list" comment="**********" hidden="1">IF(IF('Title-README'!_sdram_sb_lookup-_sdram_data_rate&gt;100,1,0)+IF('Title-README'!_sdram_sb_lookup-_sdram_data_rate&lt;0,1,0)=0,ROW(INDIRECT(CONCATENATE("1:",ROWS('Title-README'!_sdram_sb_lookup)))),"")</definedName>
    <definedName name="_sdram_sb_lookup" comment="**********" localSheetId="0" hidden="1">IF(_sdram_type="DDR2",'Title-README'!_ddr2_sb_lookup,IF(_sdram_type="DDR3/L",'Title-README'!_ddr3_sb_lookup,'Title-README'!_lpddr2_sb_lookup))</definedName>
    <definedName name="_sdram_sb_lookup" hidden="1">IF(_sdram_type="DDR2",_ddr2_sb_lookup,IF(_sdram_type="DDR3/L",_ddr3_sb_lookup,_lpddr2_sb_lookup))</definedName>
    <definedName name="_sdram_srt" comment="Bit_Field_EMIF_SDRAM_REF_CTRL_VAL*****EMIF_SDRAM_REF_CTRL[29]*****" hidden="1">0</definedName>
    <definedName name="_sdram_type" hidden="1">'[1]Step1-SystemDetails'!$F$21</definedName>
    <definedName name="_sdram_types" comment="EMIF4D**********" hidden="1">{"DDR1";"LPDDR1";"DDR2";"DDR3/L";"LPDDR2"}</definedName>
    <definedName name="_sdram_width" hidden="1">'[1]Step1-SystemDetails'!$F$33</definedName>
    <definedName name="_sival_rdtrip_delay" comment="**********" hidden="1">1000</definedName>
    <definedName name="_soc_cs_j6eco" comment="SOC_DETAILS**********De-scoped from datasheet" localSheetId="0" hidden="1">{1}</definedName>
    <definedName name="_soc_cs_j6eco" hidden="1">{1}</definedName>
    <definedName name="_soc_cs_vayu" comment="SOC_DETAILS**********" localSheetId="0" hidden="1">{1}</definedName>
    <definedName name="_soc_cs_vayu" hidden="1">{1}</definedName>
    <definedName name="_soc_emif_io_dr_acc_adaslow" comment="**********" hidden="1">IF(_sdram_type="DDR3/L",40,48)</definedName>
    <definedName name="_soc_emif_io_dr_acc_j6eco" comment="**********" hidden="1">40</definedName>
    <definedName name="_soc_emif_io_dr_acc_vayu" comment="**********" hidden="1">34</definedName>
    <definedName name="_soc_emif_io_dr_ds_adaslow" comment="**********" hidden="1">IF(_sdram_type="LPDDR2 - Discrete",60,48)</definedName>
    <definedName name="_soc_emif_io_dr_ds_j6eco" comment="**********" hidden="1">48</definedName>
    <definedName name="_soc_emif_io_dr_ds_vayu" comment="**********" hidden="1">48</definedName>
    <definedName name="_soc_emif_io_sr_acc_adaslow" comment="**********" hidden="1">IF(_sdram_type="DDR3/L","Fastest: SR[2:0] = 0b000","SR[2:0] = 0b010")</definedName>
    <definedName name="_soc_emif_io_sr_ds_adaslow" comment="**********" hidden="1">"SR[2:0] = 0b010"</definedName>
    <definedName name="_soc_emif_io_sr_j6eco" comment="**********" hidden="1">"Fastest: SR[2:0] = 0b000"</definedName>
    <definedName name="_soc_emif_io_sr_vayu" comment="**********" hidden="1">"Fastest: SR[2:0] = 0b000"</definedName>
    <definedName name="_soc_emifs_j6eco" comment="SOC_DETAILS**********" hidden="1">{1}</definedName>
    <definedName name="_soc_emifs_vayu" comment="SOC_DETAILS**********" hidden="1">{1;2}</definedName>
    <definedName name="_soc_freqmax_adaslow" comment="SOC_DETAILS**********Assumes LPDDR2 PoP; discrete only spec'd to 333 MHz" hidden="1">IF(_sdram_type="DDR3/L",533,400)</definedName>
    <definedName name="_soc_freqmax_j6eco" comment="SOC_DETAILS**********" hidden="1">667</definedName>
    <definedName name="_soc_freqmax_vayu" comment="SOC_DETAILS**********" hidden="1">IF(_sdram_type="DDR2",400,533)</definedName>
    <definedName name="_soc_freqmin_adaslow" comment="SOC_DETAILS**********" hidden="1">IF(_sdram_type="DDR3/L",303,IF(_sdram_type="DDR2",125,10))</definedName>
    <definedName name="_soc_freqmin_j6eco" comment="SOC_DETAILS**********" hidden="1">303</definedName>
    <definedName name="_soc_freqmin_vayu" comment="SOC_DETAILS**********" hidden="1">IF(_sdram_type="DDR2",125,303)</definedName>
    <definedName name="_soc_io_i_part0_vayu" comment="SOC_DETAILS**********" hidden="1">4</definedName>
    <definedName name="_soc_memtype_adaslow" comment="SOC_DETAILS**********" localSheetId="0" hidden="1">{"DDR3/L"}</definedName>
    <definedName name="_soc_memtype_adaslow" hidden="1">{"DDR3/L"}</definedName>
    <definedName name="_soc_memtype_j6eco" comment="SOC_DETAILS**********" localSheetId="0" hidden="1">{"DDR3/L"}</definedName>
    <definedName name="_soc_memtype_j6eco" hidden="1">{"DDR3/L"}</definedName>
    <definedName name="_soc_memtype_vayu" comment="SOC_DETAILS**********" localSheetId="0" hidden="1">{"DDR2";"DDR3/L"}</definedName>
    <definedName name="_soc_memtype_vayu" hidden="1">{"DDR2";"DDR3/L"}</definedName>
    <definedName name="_soc_name" comment="SOC_DETAILS**********" localSheetId="0" hidden="1">CHOOSE(MATCH(_user_soc,'Title-README'!_soc_partnum_list,0),"j6eco","vayu","j6eco","vayu","vayu","j6eco","vayu","adaslow")</definedName>
    <definedName name="_soc_name" hidden="1">CHOOSE(MATCH(_user_soc,_soc_partnum_list,0),"j6eco","vayu","j6eco","vayu","vayu","j6eco","vayu","adaslow")</definedName>
    <definedName name="_soc_names" comment="SOC_DETAILS**********" localSheetId="0" hidden="1">{"omap5";"vayu";"j6eco";"adaslow"}</definedName>
    <definedName name="_soc_names" hidden="1">{"omap5";"vayu";"j6eco";"adaslow"}</definedName>
    <definedName name="_soc_partnum_list" comment="SOC_DETAILS**********" localSheetId="0" hidden="1">{"AM571x";"AM572x";"DRA72x";"DRA74x";"DRA75x";"TDA2Ex";"TDA2x";"TDA3x"}</definedName>
    <definedName name="_soc_partnum_list" hidden="1">{"AM571x";"AM572x";"DRA72x";"DRA74x";"DRA75x";"TDA2Ex";"TDA2x";"TDA3x"}</definedName>
    <definedName name="_soc_register_name" comment="**********" hidden="1">INDIRECT(ADDRESS(ROW(),COLUMN()+1))</definedName>
    <definedName name="_soc_register_name_ctrl_vayu" comment="SOC_DETAILS**********" hidden="1">{"CTRL_CORE_CONTROL_DDRCACH1_0_VAL";"CTRL_CORE_CONTROL_DDRCACH2_0_VAL";"CTRL_CORE_CONTROL_DDRCH1_0_VAL";"CTRL_CORE_CONTROL_DDRCH1_1_VAL";"CTRL_CORE_CONTROL_DDRCH2_0_VAL";"CTRL_CORE_CONTROL_DDRCH2_1_VAL";"CTRL_CORE_CONTROL_DDRCH1_2_VAL";"CTRL_WKUP_EMIF1_SDRAM_CONFIG_EXT";"CTRL_WKUP_EMIF2_SDRAM_CONFIG_EXT"}</definedName>
    <definedName name="_soc_register_name_ddrphy_list" comment="SOC_DETAILS**********" localSheetId="7" hidden="1">#N/A</definedName>
    <definedName name="_soc_register_name_ddrphy_list" comment="SOC_DETAILS**********" localSheetId="9" hidden="1">#N/A</definedName>
    <definedName name="_soc_register_name_ddrphy_list" comment="SOC_DETAILS**********" localSheetId="5" hidden="1">#N/A</definedName>
    <definedName name="_soc_register_name_ddrphy_list" comment="SOC_DETAILS**********" hidden="1">CHOOSE(MATCH('Title-README'!_soc_name,'Title-README'!_soc_names,0),_soc_register_name_ddrphy_omap5_list,_soc_register_name_ddrphy_vayu_list,_soc_register_name_ddrphy_vayu_list,_soc_register_name_ddrphy_vayu_list)</definedName>
    <definedName name="_soc_register_name_ddrphy_omap5_list" comment="SOC_DETAILS**********" hidden="1">{"EXT_PHY_CTRL_1";"EXT_PHY_CTRL_2";"EXT_PHY_CTRL_3";"EXT_PHY_CTRL_4";"EXT_PHY_CTRL_5";"EXT_PHY_CTRL_6";"EXT_PHY_CTRL_7";"EXT_PHY_CTRL_8";"EXT_PHY_CTRL_9";"EXT_PHY_CTRL_10";"EXT_PHY_CTRL_11";"EXT_PHY_CTRL_12";"EXT_PHY_CTRL_13";"EXT_PHY_CTRL_14";"EXT_PHY_CTRL_15";"EXT_PHY_CTRL_16";"EXT_PHY_CTRL_17";"EXT_PHY_CTRL_18";"EXT_PHY_CTRL_19";"EXT_PHY_CTRL_20";"EXT_PHY_CTRL_21";"EXT_PHY_CTRL_22";"EXT_PHY_CTRL_23";"EXT_PHY_CTRL_24"}</definedName>
    <definedName name="_soc_register_name_ddrphy_vayu_list" comment="SOC_DETAILS**********" hidden="1">{"EXT_PHY_CTRL_1";"EXT_PHY_CTRL_2";"EXT_PHY_CTRL_3";"EXT_PHY_CTRL_4";"EXT_PHY_CTRL_5";"EXT_PHY_CTRL_6";"EXT_PHY_CTRL_7";"EXT_PHY_CTRL_8";"EXT_PHY_CTRL_9";"EXT_PHY_CTRL_10";"EXT_PHY_CTRL_11";"EXT_PHY_CTRL_12";"EXT_PHY_CTRL_13";"EXT_PHY_CTRL_14";"EXT_PHY_CTRL_15";"EXT_PHY_CTRL_16";"EXT_PHY_CTRL_17";"EXT_PHY_CTRL_18";"EXT_PHY_CTRL_19";"EXT_PHY_CTRL_20";"EXT_PHY_CTRL_21";"EXT_PHY_CTRL_22";"EXT_PHY_CTRL_23";"EXT_PHY_CTRL_24";"EXT_PHY_CTRL_25";"EXT_PHY_CTRL_26";"EXT_PHY_CTRL_27";"EXT_PHY_CTRL_28";"EXT_PHY_CTRL_29";"EXT_PHY_CTRL_30";"EXT_PHY_CTRL_31";"EXT_PHY_CTRL_32";"EXT_PHY_CTRL_33";"EXT_PHY_CTRL_34";"EXT_PHY_CTRL_35";"EXT_PHY_CTRL_36"}</definedName>
    <definedName name="_soc_register_name_ddrphy1" comment="SOC_DETAILS**********" localSheetId="7" hidden="1">IFERROR(CONCATENATE("// EMIF1_",INDEX(GEL!_soc_register_name_ddrphy_list,ROW()-ROW([0]!_soc_register_name_ddrphy1_start)+1)),"")</definedName>
    <definedName name="_soc_register_name_ddrphy1" comment="SOC_DETAILS**********" localSheetId="9" hidden="1">IFERROR(CONCATENATE("// EMIF1_",INDEX(RTOS!_soc_register_name_ddrphy_list,ROW()-ROW([0]!_soc_register_name_ddrphy1_start)+1)),"")</definedName>
    <definedName name="_soc_register_name_ddrphy1" comment="SOC_DETAILS**********" localSheetId="5" hidden="1">IFERROR(CONCATENATE("// EMIF1_",INDEX('VREF (LPDDR4)'!_soc_register_name_ddrphy_list,ROW()-ROW([0]!_soc_register_name_ddrphy1_start)+1)),"")</definedName>
    <definedName name="_soc_register_name_ddrphy1" comment="SOC_DETAILS**********" hidden="1">IFERROR(CONCATENATE("// EMIF1_",INDEX(_soc_register_name_ddrphy_list,ROW()-ROW(_soc_register_name_ddrphy1_start)+1)),"")</definedName>
    <definedName name="_soc_register_name_ddrphy1_start" comment="Constant_CellLoc**********" hidden="1">'[1]Register Values'!$C$83</definedName>
    <definedName name="_soc_register_name_ddrphy2" comment="SOC_DETAILS**********" localSheetId="7" hidden="1">IFERROR(CONCATENATE("// EMIF2_",INDEX(GEL!_soc_register_name_ddrphy_list,ROW()-ROW([0]!_soc_register_name_ddrphy2_start)+1)),"")</definedName>
    <definedName name="_soc_register_name_ddrphy2" comment="SOC_DETAILS**********" localSheetId="9" hidden="1">IFERROR(CONCATENATE("// EMIF2_",INDEX(RTOS!_soc_register_name_ddrphy_list,ROW()-ROW([0]!_soc_register_name_ddrphy2_start)+1)),"")</definedName>
    <definedName name="_soc_register_name_ddrphy2" comment="SOC_DETAILS**********" localSheetId="5" hidden="1">IFERROR(CONCATENATE("// EMIF2_",INDEX('VREF (LPDDR4)'!_soc_register_name_ddrphy_list,ROW()-ROW([0]!_soc_register_name_ddrphy2_start)+1)),"")</definedName>
    <definedName name="_soc_register_name_ddrphy2" comment="SOC_DETAILS**********" hidden="1">IFERROR(CONCATENATE("// EMIF2_",INDEX(_soc_register_name_ddrphy_list,ROW()-ROW(_soc_register_name_ddrphy2_start)+1)),"")</definedName>
    <definedName name="_soc_register_name_ddrphy2_start" comment="Constant_CellLoc**********" hidden="1">'[1]Register Values'!$C$122</definedName>
    <definedName name="_soc_register_name_dmm" comment="SOC_DETAILS**********" hidden="1">{"DMM_LISA_MAP_0_VAL";"DMM_LISA_MAP_1_VAL"}</definedName>
    <definedName name="_soc_register_name_emif" comment="SOC_DETAILS**********" hidden="1">{"EMIF_SDRAM_CONFIG_VAL";"EMIF_SDRAM_CONFIG_2_VAL";"EMIF_SDRAM_REF_CTRL_VAL";"EMIF_SDRAM_TIM_1_VAL";"EMIF_SDRAM_TIM_2_VAL";"EMIF_SDRAM_TIM_3_VAL";"EMIF_SDRAM_ZQ_CONFIG_VAL";"EMIF_RDWR_LVL_RMP_CTRL_VAL";"EMIF_RDWR_LVL_CTRL_VAL";"EMIF_DDR_PHY_CTRL_1_VAL"}</definedName>
    <definedName name="_soc_register_value" comment="**********" localSheetId="7" hidden="1">IFERROR(CONCATENATE("0x",Eval(CONCATENATE(REPLACE([0]!_soc_register_name,1,3,"_"),"_VAL"))),"")</definedName>
    <definedName name="_soc_register_value" comment="**********" localSheetId="9" hidden="1">IFERROR(CONCATENATE("0x",Eval(CONCATENATE(REPLACE([0]!_soc_register_name,1,3,"_"),"_VAL"))),"")</definedName>
    <definedName name="_soc_register_value" comment="**********" localSheetId="5" hidden="1">IFERROR(CONCATENATE("0x",Eval(CONCATENATE(REPLACE([0]!_soc_register_name,1,3,"_"),"_VAL"))),"")</definedName>
    <definedName name="_soc_register_value" comment="**********" hidden="1">IFERROR(CONCATENATE("0x",Eval(CONCATENATE(REPLACE(_soc_register_name,1,3,"_"),"_VAL"))),"")</definedName>
    <definedName name="_sysclk1" comment="PLL_Info**********" hidden="1">'[1]Step1-SystemDetails'!$F$19</definedName>
    <definedName name="_sysclk1_mult" comment="PLL_Info**********" hidden="1">IF((_sysclk1-ROUND(_sysclk1,0))&gt;0,ROUND(1/(_sysclk1-ROUND(_sysclk1,0)),0),1)</definedName>
    <definedName name="_t_case" hidden="1">85</definedName>
    <definedName name="_t_cke" comment="Bit_Field_EMIF_SDRAM_TIM_2_VAL*****EMIF_SDRAM_TIM2[02:00] - Minimum number of DDR clock cycles between pad_cke_o changes, minus one.*****" localSheetId="7" hidden="1">#N/A</definedName>
    <definedName name="_t_cke" comment="Bit_Field_EMIF_SDRAM_TIM_2_VAL*****EMIF_SDRAM_TIM2[02:00] - Minimum number of DDR clock cycles between pad_cke_o changes, minus one.*****" localSheetId="9" hidden="1">#N/A</definedName>
    <definedName name="_t_cke" comment="Bit_Field_EMIF_SDRAM_TIM_2_VAL*****EMIF_SDRAM_TIM2[02:00] - Minimum number of DDR clock cycles between pad_cke_o changes, minus one.*****" localSheetId="5" hidden="1">#N/A</definedName>
    <definedName name="_t_cke" comment="Bit_Field_EMIF_SDRAM_TIM_2_VAL*****EMIF_SDRAM_TIM2[02:00] - Minimum number of DDR clock cycles between pad_cke_o changes, minus one.*****" hidden="1">IF(_enable_jedec=1,'Title-README'!_t_cke_jedec,_t_cke_user)</definedName>
    <definedName name="_t_cke_ck_user" comment="User_Input**********" hidden="1">'[1]Step3-DDRTimings'!$F$38</definedName>
    <definedName name="_t_cke_jedec" comment="Bit_Field_Conversion_SDRAM_TIM2**********INTERNAL ONLY" localSheetId="0" hidden="1">IFERROR(ROUNDUP('Title-README'!_t_cke_ns*_ddr_pll_freq/1000,0)-1,0)</definedName>
    <definedName name="_t_cke_jedec" hidden="1">IFERROR(ROUNDUP(_t_cke_ns*_ddr_pll_freq/1000,0)-1,0)</definedName>
    <definedName name="_t_cke_ns" comment="JEDEC_Lookup**********" localSheetId="0" hidden="1">IF(_sdram_type="LPDDR2",3*1000/_ddr_pll_freq,IF(_sdram_type="DDR2",3*1000/_ddr_pll_freq,MAX(3*1000/_ddr_pll_freq,INDEX('Title-README'!_ddr3_sb_cke,'Title-README'!_sdram_sb))))</definedName>
    <definedName name="_t_cke_ns" hidden="1">IF(_sdram_type="LPDDR2",3*1000/_ddr_pll_freq,IF(_sdram_type="DDR2",3*1000/_ddr_pll_freq,MAX(3*1000/_ddr_pll_freq,INDEX(_ddr3_sb_cke,_sdram_sb))))</definedName>
    <definedName name="_t_cke_ns_user" comment="User_Input**********" hidden="1">'[1]Step3-DDRTimings'!$G$38</definedName>
    <definedName name="_t_cke_user" comment="Bit_Field_Conversion_SDRAM_TIM2**********" hidden="1">MAX(MIN(ROUNDUP(MAX(_t_cke_ck_user, _t_cke_ns_user*_ddr_pll_freq/1000),0)-1,2^3-1),0)</definedName>
    <definedName name="_t_ckesr" comment="Bit_Field_EMIF_SDRAM_TIM_3_VAL*****EMIF_SDRAM_TIM3[23:21] - Minimum number of DDR clock cycles for which SDRAM must remain in Self Refresh, minus one.*****" localSheetId="7" hidden="1">#N/A</definedName>
    <definedName name="_t_ckesr" comment="Bit_Field_EMIF_SDRAM_TIM_3_VAL*****EMIF_SDRAM_TIM3[23:21] - Minimum number of DDR clock cycles for which SDRAM must remain in Self Refresh, minus one.*****" localSheetId="9" hidden="1">#N/A</definedName>
    <definedName name="_t_ckesr" comment="Bit_Field_EMIF_SDRAM_TIM_3_VAL*****EMIF_SDRAM_TIM3[23:21] - Minimum number of DDR clock cycles for which SDRAM must remain in Self Refresh, minus one.*****" localSheetId="5" hidden="1">#N/A</definedName>
    <definedName name="_t_ckesr" comment="Bit_Field_EMIF_SDRAM_TIM_3_VAL*****EMIF_SDRAM_TIM3[23:21] - Minimum number of DDR clock cycles for which SDRAM must remain in Self Refresh, minus one.*****" hidden="1">IF(_enable_jedec=1,'Title-README'!_t_ckesr_jedec,_t_ckesr_user)</definedName>
    <definedName name="_t_ckesr_ck_user" comment="User_Input**********" hidden="1">'[1]Step3-DDRTimings'!$F$39</definedName>
    <definedName name="_t_ckesr_jedec" comment="Bit_Field_Conversion_SDRAM_TIM3**********INTERNAL ONLY" localSheetId="0" hidden="1">IF(_sdram_type="LPDDR2",IFERROR(ROUNDUP('Title-README'!_t_ckesr_ns*_ddr_pll_freq/1000,0)-1,0),'Title-README'!_t_cke_jedec+1)</definedName>
    <definedName name="_t_ckesr_jedec" hidden="1">IF(_sdram_type="LPDDR2",IFERROR(ROUNDUP(_t_ckesr_ns*_ddr_pll_freq/1000,0)-1,0),_t_cke_jedec+1)</definedName>
    <definedName name="_t_ckesr_ns" comment="JEDEC_Lookup**********LPDDR2 only" localSheetId="0" hidden="1">MAX(3*1000/_ddr_pll_freq,15)</definedName>
    <definedName name="_t_ckesr_ns" hidden="1">MAX(3*1000/_ddr_pll_freq,15)</definedName>
    <definedName name="_t_ckesr_ns_user" comment="User_Input**********" hidden="1">'[1]Step3-DDRTimings'!$G$39</definedName>
    <definedName name="_t_ckesr_user" comment="Bit_Field_Conversion_SDRAM_TIM3**********" hidden="1">MAX(MIN(ROUNDUP(MAX(_t_ckesr_ck_user, _t_ckesr_ns_user*_ddr_pll_freq/1000),0)-1,2^3-1),0)</definedName>
    <definedName name="_t_cl_ck_user" comment="User_Input**********" hidden="1">'[1]Step3-DDRTimings'!$F$25</definedName>
    <definedName name="_t_cl_user" comment="**********" localSheetId="7" hidden="1">#N/A</definedName>
    <definedName name="_t_cl_user" comment="**********" localSheetId="9" hidden="1">#N/A</definedName>
    <definedName name="_t_cl_user" comment="**********" localSheetId="5" hidden="1">#N/A</definedName>
    <definedName name="_t_cl_user" comment="**********" hidden="1">MAX(MIN(_t_cl_ck_user,MAX('Title-README'!_sdram_sb_cl)),INDEX('Title-README'!_sdram_sb_cl,ROW(INDIRECT("1:1"))))</definedName>
    <definedName name="_t_cl_user_max" comment="**********" localSheetId="7" hidden="1">#N/A</definedName>
    <definedName name="_t_cl_user_max" comment="**********" localSheetId="9" hidden="1">#N/A</definedName>
    <definedName name="_t_cl_user_max" comment="**********" localSheetId="5" hidden="1">#N/A</definedName>
    <definedName name="_t_cl_user_max" comment="**********" hidden="1">MAX('Title-README'!_sdram_sb_cl)</definedName>
    <definedName name="_t_cl_user_min" comment="**********" localSheetId="7" hidden="1">#N/A</definedName>
    <definedName name="_t_cl_user_min" comment="**********" localSheetId="9" hidden="1">#N/A</definedName>
    <definedName name="_t_cl_user_min" comment="**********" localSheetId="5" hidden="1">#N/A</definedName>
    <definedName name="_t_cl_user_min" comment="**********" hidden="1">MIN('Title-README'!_sdram_sb_cl)</definedName>
    <definedName name="_t_csta" comment="Bit_Field_EMIF_SDRAM_TIM_3_VAL*****EMIF_SDRAM_TIM3[27:24] - Minimum number of DDR clock cycles between write-to-write or read-to-read data phases to different chip selects, minus one.*****Based on discussion with Ritesh, this needs to be programmed as the" hidden="1">IF(_sdram_config_ebank=1,6-1,0)</definedName>
    <definedName name="_t_cwl_ck_user" comment="User_Input**********" hidden="1">'[1]Step3-DDRTimings'!$F$26</definedName>
    <definedName name="_t_cwl_user" comment="**********" hidden="1">MAX(MIN(_t_cwl_ck_user,8),5)</definedName>
    <definedName name="_t_dllk_ns" comment="**********" localSheetId="0" hidden="1">512*1000/_ddr_pll_freq</definedName>
    <definedName name="_t_dllk_ns" hidden="1">512*1000/_ddr_pll_freq</definedName>
    <definedName name="_t_dqsck_max" comment="Bit_Field_EMIF_SDRAM_TIM_3_VAL*****EMIF_SDRAM_TIM3[14:13] - Number of DDR clock cycles that satisfies tDQSCKmax for LPDDR2, minus one.*****Currently hard-coded to 6000 ps for LPDDR2" hidden="1">IF(_sdram_type="LPDDR2",MAX(MIN(ROUNDUP(_t_dqsck_max_ps*_ddr_pll_freq/1000000,0)-1,2^2-1),0),0)</definedName>
    <definedName name="_t_dqsck_max_ps" comment="JEDEC_Lookup**********For LPDDR2 only; update for user input?; using de-rated value" hidden="1">6000</definedName>
    <definedName name="_t_dqss_brdskew_p0_ch1_cs0" comment="Formula-PCB_DELAY**********" hidden="1">((_tl_clk_p0_mi_ch1_cs0*_prop_vel_microstrip) + (_tl_clk_p0_st_ch1_cs0*_prop_vel_stripline) - (_tl_dqs0_mi_ch1_cs0*_prop_vel_microstrip) - (_tl_dqs0_st_ch1_cs0*_prop_vel_stripline))/1000</definedName>
    <definedName name="_t_dqss_brdskew_p0_ch1_cs1" comment="Formula-PCB_DELAY**********" hidden="1">((_tl_clk_p0_mi_ch1_cs1*_prop_vel_microstrip) + (_tl_clk_p0_st_ch1_cs1*_prop_vel_stripline) - (_tl_dqs0_mi_ch1_cs1*_prop_vel_microstrip) - (_tl_dqs0_st_ch1_cs1*_prop_vel_stripline))/1000</definedName>
    <definedName name="_t_dqss_brdskew_p0_ch2_cs0" comment="Formula-PCB_DELAY**********" hidden="1">((_tl_clk_p0_mi_ch2_cs0*_prop_vel_microstrip) + (_tl_clk_p0_st_ch2_cs0*_prop_vel_stripline) - (_tl_dqs0_mi_ch2_cs0*_prop_vel_microstrip) - (_tl_dqs0_st_ch2_cs0*_prop_vel_stripline))/1000</definedName>
    <definedName name="_t_dqss_brdskew_p0_ch2_cs1" comment="Formula-PCB_DELAY**********" hidden="1">((_tl_clk_p0_mi_ch2_cs1*_prop_vel_microstrip) + (_tl_clk_p0_st_ch2_cs1*_prop_vel_stripline) - (_tl_dqs0_mi_ch2_cs1*_prop_vel_microstrip) - (_tl_dqs0_st_ch2_cs1*_prop_vel_stripline))/1000</definedName>
    <definedName name="_t_dqss_brdskew_p1_ch1_cs0" comment="Formula-PCB_DELAY**********" hidden="1">((_tl_clk_p1_mi_ch1_cs0*_prop_vel_microstrip) + (_tl_clk_p1_st_ch1_cs0*_prop_vel_stripline) - (_tl_dqs1_mi_ch1_cs0*_prop_vel_microstrip) - (_tl_dqs1_st_ch1_cs0*_prop_vel_stripline))/1000</definedName>
    <definedName name="_t_dqss_brdskew_p1_ch1_cs1" comment="Formula-PCB_DELAY**********" hidden="1">((_tl_clk_p1_mi_ch1_cs1*_prop_vel_microstrip) + (_tl_clk_p1_st_ch1_cs1*_prop_vel_stripline) - (_tl_dqs1_mi_ch1_cs1*_prop_vel_microstrip) - (_tl_dqs1_st_ch1_cs1*_prop_vel_stripline))/1000</definedName>
    <definedName name="_t_dqss_brdskew_p1_ch2_cs0" comment="Formula-PCB_DELAY**********" hidden="1">((_tl_clk_p1_mi_ch2_cs0*_prop_vel_microstrip) + (_tl_clk_p1_st_ch2_cs0*_prop_vel_stripline) - (_tl_dqs1_mi_ch2_cs0*_prop_vel_microstrip) - (_tl_dqs1_st_ch2_cs0*_prop_vel_stripline))/1000</definedName>
    <definedName name="_t_dqss_brdskew_p1_ch2_cs1" comment="Formula-PCB_DELAY**********" hidden="1">((_tl_clk_p1_mi_ch2_cs1*_prop_vel_microstrip) + (_tl_clk_p1_st_ch2_cs1*_prop_vel_stripline) - (_tl_dqs1_mi_ch2_cs1*_prop_vel_microstrip) - (_tl_dqs1_st_ch2_cs1*_prop_vel_stripline))/1000</definedName>
    <definedName name="_t_dqss_brdskew_p2_ch1_cs0" comment="Formula-PCB_DELAY**********" hidden="1">((_tl_clk_p2_mi_ch1_cs0*_prop_vel_microstrip) + (_tl_clk_p2_st_ch1_cs0*_prop_vel_stripline) - (_tl_dqs2_mi_ch1_cs0*_prop_vel_microstrip) - (_tl_dqs2_st_ch1_cs0*_prop_vel_stripline))/1000</definedName>
    <definedName name="_t_dqss_brdskew_p2_ch1_cs1" comment="Formula-PCB_DELAY**********" hidden="1">((_tl_clk_p2_mi_ch1_cs1*_prop_vel_microstrip) + (_tl_clk_p2_st_ch1_cs1*_prop_vel_stripline) - (_tl_dqs2_mi_ch1_cs1*_prop_vel_microstrip) - (_tl_dqs2_st_ch1_cs1*_prop_vel_stripline))/1000</definedName>
    <definedName name="_t_dqss_brdskew_p2_ch2_cs0" comment="Formula-PCB_DELAY**********" hidden="1">((_tl_clk_p2_mi_ch2_cs0*_prop_vel_microstrip) + (_tl_clk_p2_st_ch2_cs0*_prop_vel_stripline) - (_tl_dqs2_mi_ch2_cs0*_prop_vel_microstrip) - (_tl_dqs2_st_ch2_cs0*_prop_vel_stripline))/1000</definedName>
    <definedName name="_t_dqss_brdskew_p2_ch2_cs1" comment="Formula-PCB_DELAY**********" hidden="1">((_tl_clk_p2_mi_ch2_cs1*_prop_vel_microstrip) + (_tl_clk_p2_st_ch2_cs1*_prop_vel_stripline) - (_tl_dqs2_mi_ch2_cs1*_prop_vel_microstrip) - (_tl_dqs2_st_ch2_cs1*_prop_vel_stripline))/1000</definedName>
    <definedName name="_t_dqss_brdskew_p3_ch1_cs0" comment="Formula-PCB_DELAY**********" hidden="1">((_tl_clk_p3_mi_ch1_cs0*_prop_vel_microstrip) + (_tl_clk_p3_st_ch1_cs0*_prop_vel_stripline) - (_tl_dqs3_mi_ch1_cs0*_prop_vel_microstrip) - (_tl_dqs3_st_ch1_cs0*_prop_vel_stripline))/1000</definedName>
    <definedName name="_t_dqss_brdskew_p3_ch1_cs1" comment="Formula-PCB_DELAY**********" hidden="1">((_tl_clk_p3_mi_ch1_cs1*_prop_vel_microstrip) + (_tl_clk_p3_st_ch1_cs1*_prop_vel_stripline) - (_tl_dqs3_mi_ch1_cs1*_prop_vel_microstrip) - (_tl_dqs3_st_ch1_cs1*_prop_vel_stripline))/1000</definedName>
    <definedName name="_t_dqss_brdskew_p3_ch2_cs0" comment="Formula-PCB_DELAY**********" hidden="1">((_tl_clk_p3_mi_ch2_cs0*_prop_vel_microstrip) + (_tl_clk_p3_st_ch2_cs0*_prop_vel_stripline) - (_tl_dqs3_mi_ch2_cs0*_prop_vel_microstrip) - (_tl_dqs3_st_ch2_cs0*_prop_vel_stripline))/1000</definedName>
    <definedName name="_t_dqss_brdskew_p3_ch2_cs1" comment="Formula-PCB_DELAY**********" hidden="1">((_tl_clk_p3_mi_ch2_cs1*_prop_vel_microstrip) + (_tl_clk_p3_st_ch2_cs1*_prop_vel_stripline) - (_tl_dqs3_mi_ch2_cs1*_prop_vel_microstrip) - (_tl_dqs3_st_ch2_cs1*_prop_vel_stripline))/1000</definedName>
    <definedName name="_t_dqss_brdskew_p4_ch1_cs0" comment="Formula-PCB_DELAY**********" hidden="1">((_tl_clk_p4_mi_ch1_cs0*_prop_vel_microstrip) + (_tl_clk_p4_st_ch1_cs0*_prop_vel_stripline) - (_tl_dqs4_mi_ch1_cs0*_prop_vel_microstrip) - (_tl_dqs4_st_ch1_cs0*_prop_vel_stripline))/1000</definedName>
    <definedName name="_t_dqss_brdskew_p4_ch1_cs1" comment="Formula-PCB_DELAY**********" hidden="1">((_tl_clk_p4_mi_ch1_cs1*_prop_vel_microstrip) + (_tl_clk_p4_st_ch1_cs1*_prop_vel_stripline) - (_tl_dqs4_mi_ch1_cs1*_prop_vel_microstrip) - (_tl_dqs4_st_ch1_cs1*_prop_vel_stripline))/1000</definedName>
    <definedName name="_t_dqss_brdskew_p4_ch2_cs0" comment="Formula-PCB_DELAY**********" hidden="1">((_tl_clk_p4_mi_ch2_cs0*_prop_vel_microstrip) + (_tl_clk_p4_st_ch2_cs0*_prop_vel_stripline) - (_tl_dqs4_mi_ch2_cs0*_prop_vel_microstrip) - (_tl_dqs4_st_ch2_cs0*_prop_vel_stripline))/1000</definedName>
    <definedName name="_t_dqss_brdskew_p4_ch2_cs1" comment="Formula-PCB_DELAY**********" hidden="1">((_tl_clk_p4_mi_ch2_cs1*_prop_vel_microstrip) + (_tl_clk_p4_st_ch2_cs1*_prop_vel_stripline) - (_tl_dqs4_mi_ch2_cs1*_prop_vel_microstrip) - (_tl_dqs4_st_ch2_cs1*_prop_vel_stripline))/1000</definedName>
    <definedName name="_t_faw_ck_user" comment="User_Input**********" hidden="1">'[1]Step3-DDRTimings'!$F$44</definedName>
    <definedName name="_t_faw_jedec" comment="Bit_Field_Conversion_SDRAM_TIM1**********" localSheetId="0" hidden="1">IFERROR(ROUNDUP('Title-README'!_t_faw_ns*_ddr_pll_freq/4000,0)-1,0)</definedName>
    <definedName name="_t_faw_jedec" hidden="1">IFERROR(ROUNDUP(_t_faw_ns*_ddr_pll_freq/4000,0)-1,0)</definedName>
    <definedName name="_t_faw_ns" comment="JEDEC_Lookup**********" localSheetId="0" hidden="1">IF(_sdram_type="DDR2",IF('Title-README'!_sdram_pagesize=2048,INDEX('Title-README'!_ddr2_sb_faw_2k,'Title-README'!_sdram_sb),INDEX('Title-README'!_ddr2_sb_faw_1k,'Title-README'!_sdram_sb)),IF('Title-README'!_sdram_pagesize=2048,INDEX('Title-README'!_ddr3_sb_faw_2k,'Title-README'!_sdram_sb),INDEX('Title-README'!_ddr3_sb_faw_1k,'Title-README'!_sdram_sb)))</definedName>
    <definedName name="_t_faw_ns" hidden="1">IF(_sdram_type="DDR2",IF(_sdram_pagesize=2048,INDEX(_ddr2_sb_faw_2k,_sdram_sb),INDEX(_ddr2_sb_faw_1k,_sdram_sb)),IF(_sdram_pagesize=2048,INDEX(_ddr3_sb_faw_2k,_sdram_sb),INDEX(_ddr3_sb_faw_1k,_sdram_sb)))</definedName>
    <definedName name="_t_faw_ns_user" comment="User_Input**********" hidden="1">'[1]Step3-DDRTimings'!$G$44</definedName>
    <definedName name="_t_faw_user" comment="Bit_Field_Conversion_SDRAM_TIM1**********" hidden="1">ROUNDUP(MAX(_t_faw_ck_user, _t_faw_ns_user*_ddr_pll_freq/1000)/4,0)-1</definedName>
    <definedName name="_t_odt" comment="Bit_Field_EMIF_SDRAM_TIM_2_VAL*****EMIF_SDRAM_TIM2[27:25] - Minimum number of DDR clock cycles from ODT enable to write data driven for DDR2 and DDR3. reg_t_odt must be equal to tAOND.*****NOT USED" hidden="1">0</definedName>
    <definedName name="_t_odt_jedec" comment="Bit_Field_Conversion**********" hidden="1">IFERROR(ROUNDUP(_t_odt_ns*_ddr_pll_freq/1000,0)-1,0)</definedName>
    <definedName name="_t_odt_ns" comment="JEDEC_Lookup**********" hidden="1">IF(_sdram_type="DDR2",2000/_ddr_pll_freq,2)</definedName>
    <definedName name="_t_pdll_ul" comment="Bit_Field_EMIF_SDRAM_TIM_3_VAL*****EMIF_SDRAM_TIM3[31:28] - Minimum number of DDR clock cycles for PHY DLL to unlock. A value of N will be equal to N x 128 clocks.*****Used when exiting self-refresh. Set to 0x4 to stay consistent with latest GELs." hidden="1">4</definedName>
    <definedName name="_t_ras" comment="Bit_Field_EMIF_SDRAM_TIM_1_VAL*****EMIF_SDRAM_TIM1[16:12] - Minimum number of DDR clock cycles from Activate to Pre-charge, minus one. reg_t_ras &gt;= reg_t_rcd.*****" localSheetId="7" hidden="1">#N/A</definedName>
    <definedName name="_t_ras" comment="Bit_Field_EMIF_SDRAM_TIM_1_VAL*****EMIF_SDRAM_TIM1[16:12] - Minimum number of DDR clock cycles from Activate to Pre-charge, minus one. reg_t_ras &gt;= reg_t_rcd.*****" localSheetId="9" hidden="1">#N/A</definedName>
    <definedName name="_t_ras" comment="Bit_Field_EMIF_SDRAM_TIM_1_VAL*****EMIF_SDRAM_TIM1[16:12] - Minimum number of DDR clock cycles from Activate to Pre-charge, minus one. reg_t_ras &gt;= reg_t_rcd.*****" localSheetId="5" hidden="1">#N/A</definedName>
    <definedName name="_t_ras" comment="Bit_Field_EMIF_SDRAM_TIM_1_VAL*****EMIF_SDRAM_TIM1[16:12] - Minimum number of DDR clock cycles from Activate to Pre-charge, minus one. reg_t_ras &gt;= reg_t_rcd.*****" hidden="1">IF(_enable_jedec=1,'Title-README'!_t_ras_jedec,_t_ras_user)</definedName>
    <definedName name="_t_ras_ck_user" comment="User_Input**********" hidden="1">'[1]Step3-DDRTimings'!$F$30</definedName>
    <definedName name="_t_ras_jedec" comment="Bit_Field_Conversion_SDRAM_TIM1**********INTERNAL ONLY" localSheetId="0" hidden="1">IFERROR(ROUNDUP('Title-README'!_t_ras_ns*_ddr_pll_freq/1000,0)-1,0)</definedName>
    <definedName name="_t_ras_jedec" hidden="1">IFERROR(ROUNDUP(_t_ras_ns*_ddr_pll_freq/1000,0)-1,0)</definedName>
    <definedName name="_t_ras_max" comment="Bit_Field_EMIF_SDRAM_TIM_3_VAL*****EMIF_SDRAM_TIM3[03:00] - Maximum number of reg_refresh_rate intervals from Activate to Precharge command. This field must be equal to ((tRASmax / tREFI)-1) rounded down to the next lower integer.*****" localSheetId="7" hidden="1">#N/A</definedName>
    <definedName name="_t_ras_max" comment="Bit_Field_EMIF_SDRAM_TIM_3_VAL*****EMIF_SDRAM_TIM3[03:00] - Maximum number of reg_refresh_rate intervals from Activate to Precharge command. This field must be equal to ((tRASmax / tREFI)-1) rounded down to the next lower integer.*****" localSheetId="9" hidden="1">#N/A</definedName>
    <definedName name="_t_ras_max" comment="Bit_Field_EMIF_SDRAM_TIM_3_VAL*****EMIF_SDRAM_TIM3[03:00] - Maximum number of reg_refresh_rate intervals from Activate to Precharge command. This field must be equal to ((tRASmax / tREFI)-1) rounded down to the next lower integer.*****" localSheetId="5" hidden="1">#N/A</definedName>
    <definedName name="_t_ras_max" comment="Bit_Field_EMIF_SDRAM_TIM_3_VAL*****EMIF_SDRAM_TIM3[03:00] - Maximum number of reg_refresh_rate intervals from Activate to Precharge command. This field must be equal to ((tRASmax / tREFI)-1) rounded down to the next lower integer.*****" hidden="1">IF(_enable_jedec=1,'Title-README'!_t_ras_max_jedec,_t_ras_max_user)</definedName>
    <definedName name="_t_ras_max_jedec" comment="Bit_Field_Conversion_SDRAM_TIM3**********INTERNAL ONLY" localSheetId="0" hidden="1">IFERROR(ROUNDDOWN('Title-README'!_t_ras_max_ns/'Title-README'!_t_refi_ns,0)-1,0)</definedName>
    <definedName name="_t_ras_max_jedec" hidden="1">IFERROR(ROUNDDOWN(_t_ras_max_ns/_t_refi_ns,0)-1,0)</definedName>
    <definedName name="_t_ras_max_ns" comment="JEDEC_Lookup**********" localSheetId="0" hidden="1">IF(_sdram_type="LPDDR2",70000,IF(_sdram_type="DDR2",70000,9*'Title-README'!_t_refi_ns))</definedName>
    <definedName name="_t_ras_max_ns" hidden="1">IF(_sdram_type="LPDDR2",70000,IF(_sdram_type="DDR2",70000,9*_t_refi_ns))</definedName>
    <definedName name="_t_ras_max_ns_user" comment="User_Input**********" hidden="1">'[1]Step3-DDRTimings'!$G$42</definedName>
    <definedName name="_t_ras_max_user" comment="Bit_Field_Conversion_SDRAM_TIM3**********" hidden="1">MAX(MIN(ROUNDDOWN(_t_ras_max_ns_user/_t_refi_ns_user,0)-1,2^4-1),0)</definedName>
    <definedName name="_t_ras_ns" comment="JEDEC_Lookup**********" localSheetId="0" hidden="1">IF(_sdram_type="LPDDR2",MAX(3*1000/_ddr_pll_freq,42),IF(_sdram_type="DDR2",INDEX('Title-README'!_ddr2_sb_ras_min,'Title-README'!_sdram_sb),INDEX('Title-README'!_ddr3_sb_ras_min,'Title-README'!_sdram_sb)))</definedName>
    <definedName name="_t_ras_ns" hidden="1">IF(_sdram_type="LPDDR2",MAX(3*1000/_ddr_pll_freq,42),IF(_sdram_type="DDR2",INDEX(_ddr2_sb_ras_min,_sdram_sb),INDEX(_ddr3_sb_ras_min,_sdram_sb)))</definedName>
    <definedName name="_t_ras_ns_user" comment="User_Input**********" hidden="1">'[1]Step3-DDRTimings'!$G$30</definedName>
    <definedName name="_t_ras_user" comment="Bit_Field_Conversion_SDRAM_TIM1**********" hidden="1">MAX(MIN(ROUNDUP(MAX(_t_ras_ck_user, _t_ras_ns_user*_ddr_pll_freq/1000),0)-1,2^5-1),_t_rcd_user)</definedName>
    <definedName name="_t_rc" comment="Bit_Field_EMIF_SDRAM_TIM_1_VAL*****EMIF_SDRAM_TIM1[11:06] - Minimum number of DDR clock cycles from Activate to Activate, minus one.*****" localSheetId="7" hidden="1">#N/A</definedName>
    <definedName name="_t_rc" comment="Bit_Field_EMIF_SDRAM_TIM_1_VAL*****EMIF_SDRAM_TIM1[11:06] - Minimum number of DDR clock cycles from Activate to Activate, minus one.*****" localSheetId="9" hidden="1">#N/A</definedName>
    <definedName name="_t_rc" comment="Bit_Field_EMIF_SDRAM_TIM_1_VAL*****EMIF_SDRAM_TIM1[11:06] - Minimum number of DDR clock cycles from Activate to Activate, minus one.*****" localSheetId="5" hidden="1">#N/A</definedName>
    <definedName name="_t_rc" comment="Bit_Field_EMIF_SDRAM_TIM_1_VAL*****EMIF_SDRAM_TIM1[11:06] - Minimum number of DDR clock cycles from Activate to Activate, minus one.*****" hidden="1">IF(_enable_jedec=1,'Title-README'!_t_rc_jedec,_t_rc_user)</definedName>
    <definedName name="_t_rc_ck_user" comment="User_Input**********" hidden="1">'[1]Step3-DDRTimings'!$F$31</definedName>
    <definedName name="_t_rc_jedec" comment="Bit_Field_Conversion_SDRAM_TIM1**********INTERNAL ONLY" localSheetId="0" hidden="1">IFERROR(ROUNDUP('Title-README'!_t_rc_ns*_ddr_pll_freq/1000,0)-1,0)</definedName>
    <definedName name="_t_rc_jedec" hidden="1">IFERROR(ROUNDUP(_t_rc_ns*_ddr_pll_freq/1000,0)-1,0)</definedName>
    <definedName name="_t_rc_ns" comment="JEDEC_Lookup**********" localSheetId="0" hidden="1">IF(_sdram_type="LPDDR2",'Title-README'!_t_ras_ns+'Title-README'!_t_rp_ns,IF(_sdram_type="DDR2",INDEX('Title-README'!_ddr2_sb_rc,'Title-README'!_sdram_sb),INDEX('Title-README'!_ddr3_sb_rc,'Title-README'!_sdram_sb)))</definedName>
    <definedName name="_t_rc_ns" hidden="1">IF(_sdram_type="LPDDR2",_t_ras_ns+_t_rp_ns,IF(_sdram_type="DDR2",INDEX(_ddr2_sb_rc,_sdram_sb),INDEX(_ddr3_sb_rc,_sdram_sb)))</definedName>
    <definedName name="_t_rc_ns_user" comment="User_Input**********" hidden="1">'[1]Step3-DDRTimings'!$G$31</definedName>
    <definedName name="_t_rc_user" comment="Bit_Field_Conversion_SDRAM_TIM1**********" hidden="1">MAX(MIN(ROUNDUP(MAX(_t_rc_ck_user, _t_rc_ns_user*_ddr_pll_freq/1000),0)-1,2^6-1),0)</definedName>
    <definedName name="_t_rcd" comment="Bit_Field_EMIF_SDRAM_TIM_1_VAL*****EMIF_SDRAM_TIM1[24:21] - Minimum number of DDR clock cycles from Activate to Read or Write, minus one.*****" localSheetId="7" hidden="1">#N/A</definedName>
    <definedName name="_t_rcd" comment="Bit_Field_EMIF_SDRAM_TIM_1_VAL*****EMIF_SDRAM_TIM1[24:21] - Minimum number of DDR clock cycles from Activate to Read or Write, minus one.*****" localSheetId="9" hidden="1">#N/A</definedName>
    <definedName name="_t_rcd" comment="Bit_Field_EMIF_SDRAM_TIM_1_VAL*****EMIF_SDRAM_TIM1[24:21] - Minimum number of DDR clock cycles from Activate to Read or Write, minus one.*****" localSheetId="5" hidden="1">#N/A</definedName>
    <definedName name="_t_rcd" comment="Bit_Field_EMIF_SDRAM_TIM_1_VAL*****EMIF_SDRAM_TIM1[24:21] - Minimum number of DDR clock cycles from Activate to Read or Write, minus one.*****" hidden="1">IF(_enable_jedec=1,'Title-README'!_t_rcd_jedec,_t_rcd_user)</definedName>
    <definedName name="_t_rcd_ck_user" comment="User_Input**********" hidden="1">'[1]Step3-DDRTimings'!$F$28</definedName>
    <definedName name="_t_rcd_jedec" comment="Bit_Field_Conversion_SDRAM_TIM1**********INTERNAL ONLY" localSheetId="0" hidden="1">IFERROR(ROUNDUP('Title-README'!_t_rcd_ns*_ddr_pll_freq/1000,0)-1,0)</definedName>
    <definedName name="_t_rcd_jedec" hidden="1">IFERROR(ROUNDUP(_t_rcd_ns*_ddr_pll_freq/1000,0)-1,0)</definedName>
    <definedName name="_t_rcd_ns" comment="JEDEC_Lookup**********Using TYPICAL for LPDDR2" localSheetId="0" hidden="1">IF(_sdram_type="LPDDR2",MAX(3*1000/_ddr_pll_freq,18),IF(_sdram_type="DDR2",INDEX('Title-README'!_ddr2_sb_rcd,'Title-README'!_sdram_sb),INDEX('Title-README'!_ddr3_sb_rcd,'Title-README'!_sdram_sb)))</definedName>
    <definedName name="_t_rcd_ns" hidden="1">IF(_sdram_type="LPDDR2",MAX(3*1000/_ddr_pll_freq,18),IF(_sdram_type="DDR2",INDEX(_ddr2_sb_rcd,_sdram_sb),INDEX(_ddr3_sb_rcd,_sdram_sb)))</definedName>
    <definedName name="_t_rcd_ns_user" comment="User_Input**********" hidden="1">'[1]Step3-DDRTimings'!$G$28</definedName>
    <definedName name="_t_rcd_user" comment="Bit_Field_Conversion_SDRAM_TIM1**********" hidden="1">MAX(MIN(ROUNDUP(MAX(_t_rcd_ck_user, _t_rcd_ns_user*_ddr_pll_freq/1000),0)-1,2^4-1),0)</definedName>
    <definedName name="_t_rdtrip_brddly_p0_ch1_cs0" comment="Formula-PCB_DELAY**********" hidden="1">((_tl_clk_p0_mi_ch1_cs0*_prop_vel_microstrip) + (_tl_clk_p0_st_ch1_cs0*_prop_vel_stripline) + (_tl_dqs0_mi_ch1_cs0*_prop_vel_microstrip) + (_tl_dqs0_st_ch1_cs0*_prop_vel_stripline))/1000</definedName>
    <definedName name="_t_rdtrip_brddly_p0_ch1_cs1" comment="Formula-PCB_DELAY**********" hidden="1">((_tl_clk_p0_mi_ch1_cs1*_prop_vel_microstrip) + (_tl_clk_p0_st_ch1_cs1*_prop_vel_stripline) + (_tl_dqs0_mi_ch1_cs1*_prop_vel_microstrip) + (_tl_dqs0_st_ch1_cs1*_prop_vel_stripline))/1000</definedName>
    <definedName name="_t_rdtrip_brddly_p0_ch2_cs0" comment="Formula-PCB_DELAY**********" hidden="1">((_tl_clk_p0_mi_ch2_cs0*_prop_vel_microstrip) + (_tl_clk_p0_st_ch2_cs0*_prop_vel_stripline) + (_tl_dqs0_mi_ch2_cs0*_prop_vel_microstrip) + (_tl_dqs0_st_ch2_cs0*_prop_vel_stripline))/1000</definedName>
    <definedName name="_t_rdtrip_brddly_p0_ch2_cs1" comment="Formula-PCB_DELAY**********" hidden="1">((_tl_clk_p0_mi_ch2_cs1*_prop_vel_microstrip) + (_tl_clk_p0_st_ch2_cs1*_prop_vel_stripline) + (_tl_dqs0_mi_ch2_cs1*_prop_vel_microstrip) + (_tl_dqs0_st_ch2_cs1*_prop_vel_stripline))/1000</definedName>
    <definedName name="_t_rdtrip_brddly_p1_ch1_cs0" comment="Formula-PCB_DELAY**********" hidden="1">((_tl_clk_p1_mi_ch1_cs0*_prop_vel_microstrip) + (_tl_clk_p1_st_ch1_cs0*_prop_vel_stripline) + (_tl_dqs1_mi_ch1_cs0*_prop_vel_microstrip) + (_tl_dqs1_st_ch1_cs0*_prop_vel_stripline))/1000</definedName>
    <definedName name="_t_rdtrip_brddly_p1_ch1_cs1" comment="Formula-PCB_DELAY**********" hidden="1">((_tl_clk_p1_mi_ch1_cs1*_prop_vel_microstrip) + (_tl_clk_p1_st_ch1_cs1*_prop_vel_stripline) + (_tl_dqs1_mi_ch1_cs1*_prop_vel_microstrip) + (_tl_dqs1_st_ch1_cs1*_prop_vel_stripline))/1000</definedName>
    <definedName name="_t_rdtrip_brddly_p1_ch2_cs0" comment="Formula-PCB_DELAY**********" hidden="1">((_tl_clk_p1_mi_ch2_cs0*_prop_vel_microstrip) + (_tl_clk_p1_st_ch2_cs0*_prop_vel_stripline) + (_tl_dqs1_mi_ch2_cs0*_prop_vel_microstrip) + (_tl_dqs1_st_ch2_cs0*_prop_vel_stripline))/1000</definedName>
    <definedName name="_t_rdtrip_brddly_p1_ch2_cs1" comment="Formula-PCB_DELAY**********" hidden="1">((_tl_clk_p1_mi_ch2_cs1*_prop_vel_microstrip) + (_tl_clk_p1_st_ch2_cs1*_prop_vel_stripline) + (_tl_dqs1_mi_ch2_cs1*_prop_vel_microstrip) + (_tl_dqs1_st_ch2_cs1*_prop_vel_stripline))/1000</definedName>
    <definedName name="_t_rdtrip_brddly_p2_ch1_cs0" comment="Formula-PCB_DELAY**********" hidden="1">((_tl_clk_p2_mi_ch1_cs0*_prop_vel_microstrip) + (_tl_clk_p2_st_ch1_cs0*_prop_vel_stripline) + (_tl_dqs2_mi_ch1_cs0*_prop_vel_microstrip) + (_tl_dqs2_st_ch1_cs0*_prop_vel_stripline))/1000</definedName>
    <definedName name="_t_rdtrip_brddly_p2_ch1_cs1" comment="Formula-PCB_DELAY**********" hidden="1">((_tl_clk_p2_mi_ch1_cs1*_prop_vel_microstrip) + (_tl_clk_p2_st_ch1_cs1*_prop_vel_stripline) + (_tl_dqs2_mi_ch1_cs1*_prop_vel_microstrip) + (_tl_dqs2_st_ch1_cs1*_prop_vel_stripline))/1000</definedName>
    <definedName name="_t_rdtrip_brddly_p2_ch2_cs0" comment="Formula-PCB_DELAY**********" hidden="1">((_tl_clk_p2_mi_ch2_cs0*_prop_vel_microstrip) + (_tl_clk_p2_st_ch2_cs0*_prop_vel_stripline) + (_tl_dqs2_mi_ch2_cs0*_prop_vel_microstrip) + (_tl_dqs2_st_ch2_cs0*_prop_vel_stripline))/1000</definedName>
    <definedName name="_t_rdtrip_brddly_p2_ch2_cs1" comment="Formula-PCB_DELAY**********" hidden="1">((_tl_clk_p2_mi_ch2_cs1*_prop_vel_microstrip) + (_tl_clk_p2_st_ch2_cs1*_prop_vel_stripline) + (_tl_dqs2_mi_ch2_cs1*_prop_vel_microstrip) + (_tl_dqs2_st_ch2_cs1*_prop_vel_stripline))/1000</definedName>
    <definedName name="_t_rdtrip_brddly_p3_ch1_cs0" comment="Formula-PCB_DELAY**********" hidden="1">((_tl_clk_p3_mi_ch1_cs0*_prop_vel_microstrip) + (_tl_clk_p3_st_ch1_cs0*_prop_vel_stripline) + (_tl_dqs3_mi_ch1_cs0*_prop_vel_microstrip) + (_tl_dqs3_st_ch1_cs0*_prop_vel_stripline))/1000</definedName>
    <definedName name="_t_rdtrip_brddly_p3_ch1_cs1" comment="Formula-PCB_DELAY**********" hidden="1">((_tl_clk_p3_mi_ch1_cs1*_prop_vel_microstrip) + (_tl_clk_p3_st_ch1_cs1*_prop_vel_stripline) + (_tl_dqs3_mi_ch1_cs1*_prop_vel_microstrip) + (_tl_dqs3_st_ch1_cs1*_prop_vel_stripline))/1000</definedName>
    <definedName name="_t_rdtrip_brddly_p3_ch2_cs0" comment="Formula-PCB_DELAY**********" hidden="1">((_tl_clk_p3_mi_ch2_cs0*_prop_vel_microstrip) + (_tl_clk_p3_st_ch2_cs0*_prop_vel_stripline) + (_tl_dqs3_mi_ch2_cs0*_prop_vel_microstrip) + (_tl_dqs3_st_ch2_cs0*_prop_vel_stripline))/1000</definedName>
    <definedName name="_t_rdtrip_brddly_p3_ch2_cs1" comment="Formula-PCB_DELAY**********" hidden="1">((_tl_clk_p3_mi_ch2_cs1*_prop_vel_microstrip) + (_tl_clk_p3_st_ch2_cs1*_prop_vel_stripline) + (_tl_dqs3_mi_ch2_cs1*_prop_vel_microstrip) + (_tl_dqs3_st_ch2_cs1*_prop_vel_stripline))/1000</definedName>
    <definedName name="_t_rdtrip_brddly_p4_ch1_cs0" comment="Formula-PCB_DELAY**********" hidden="1">((_tl_clk_p4_mi_ch1_cs0*_prop_vel_microstrip) + (_tl_clk_p4_st_ch1_cs0*_prop_vel_stripline) + (_tl_dqs4_mi_ch1_cs0*_prop_vel_microstrip) + (_tl_dqs4_st_ch1_cs0*_prop_vel_stripline))/1000</definedName>
    <definedName name="_t_rdtrip_brddly_p4_ch1_cs1" comment="Formula-PCB_DELAY**********" hidden="1">((_tl_clk_p4_mi_ch1_cs1*_prop_vel_microstrip) + (_tl_clk_p4_st_ch1_cs1*_prop_vel_stripline) + (_tl_dqs4_mi_ch1_cs1*_prop_vel_microstrip) + (_tl_dqs4_st_ch1_cs1*_prop_vel_stripline))/1000</definedName>
    <definedName name="_t_rdtrip_brddly_p4_ch2_cs0" comment="Formula-PCB_DELAY**********" hidden="1">((_tl_clk_p4_mi_ch2_cs0*_prop_vel_microstrip) + (_tl_clk_p4_st_ch2_cs0*_prop_vel_stripline) + (_tl_dqs4_mi_ch2_cs0*_prop_vel_microstrip) + (_tl_dqs4_st_ch2_cs0*_prop_vel_stripline))/1000</definedName>
    <definedName name="_t_rdtrip_brddly_p4_ch2_cs1" comment="Formula-PCB_DELAY**********" hidden="1">((_tl_clk_p4_mi_ch2_cs1*_prop_vel_microstrip) + (_tl_clk_p4_st_ch2_cs1*_prop_vel_stripline) + (_tl_dqs4_mi_ch2_cs1*_prop_vel_microstrip) + (_tl_dqs4_st_ch2_cs1*_prop_vel_stripline))/1000</definedName>
    <definedName name="_t_refi" comment="Bit_Field_EMIF_SDRAM_REF_CTRL_VAL*****EMIF_SDRAM_REF_CTRL[15:00]*****" localSheetId="7" hidden="1">#N/A</definedName>
    <definedName name="_t_refi" comment="Bit_Field_EMIF_SDRAM_REF_CTRL_VAL*****EMIF_SDRAM_REF_CTRL[15:00]*****" localSheetId="9" hidden="1">#N/A</definedName>
    <definedName name="_t_refi" comment="Bit_Field_EMIF_SDRAM_REF_CTRL_VAL*****EMIF_SDRAM_REF_CTRL[15:00]*****" localSheetId="5" hidden="1">#N/A</definedName>
    <definedName name="_t_refi" comment="Bit_Field_EMIF_SDRAM_REF_CTRL_VAL*****EMIF_SDRAM_REF_CTRL[15:00]*****" hidden="1">IF(_enable_jedec=1,'Title-README'!_t_refi_jedec,_t_refi_user)</definedName>
    <definedName name="_t_refi_init" comment="Bit_Field_EMIF_SDRAM_REF_CTRL_INIT_VAL*****EMIF_SDRAM_REF_CTRL[15:00]*****" hidden="1">MAX(MIN(ROUNDUP( _t_refi_ns_init*_ddr_pll_freq/1000,0),2^16-1),6*_t_rfc_user)</definedName>
    <definedName name="_t_refi_jedec" comment="Bit_Field_Conversion_SDRAM_REF_CTRL**********" localSheetId="0" hidden="1">IFERROR(ROUNDDOWN('Title-README'!_t_refi_ns*_ddr_pll_freq/1000,0),0)</definedName>
    <definedName name="_t_refi_jedec" hidden="1">IFERROR(ROUNDDOWN(_t_refi_ns*_ddr_pll_freq/1000,0),0)</definedName>
    <definedName name="_t_refi_ns" comment="JEDEC_Lookup**********" localSheetId="0" hidden="1">IF(_t_case=95,3900,7800)</definedName>
    <definedName name="_t_refi_ns" hidden="1">IF(_t_case=95,3900,7800)</definedName>
    <definedName name="_t_refi_ns_init" comment="JEDEC_Lookup**********DDR2 must satisfy 200 us; DDR3 must satisfy 500 us; LPDDR2 must satisfy 100 ns and 5 tCK (normal user input sufficient)" hidden="1">IF(_sdram_type="DDR3/L",31250,12500)</definedName>
    <definedName name="_t_refi_ns_user" comment="User_Input**********" hidden="1">'[1]Step3-DDRTimings'!$G$43</definedName>
    <definedName name="_t_refi_user" comment="Bit_Field_Conversion_SDRAM_REF_CTRL**********" hidden="1">MAX(MIN(ROUNDDOWN( _t_refi_ns_user*_ddr_pll_freq/1000,0),2^16-1),6*_t_rfc_user)</definedName>
    <definedName name="_t_rfc" comment="Bit_Field_EMIF_SDRAM_TIM_3_VAL*****EMIF_SDRAM_TIM3[12:04] - Minimum number of DDR clock cycles from Refresh or Load Mode to Refresh or Activate, minus one.*****" localSheetId="7" hidden="1">#N/A</definedName>
    <definedName name="_t_rfc" comment="Bit_Field_EMIF_SDRAM_TIM_3_VAL*****EMIF_SDRAM_TIM3[12:04] - Minimum number of DDR clock cycles from Refresh or Load Mode to Refresh or Activate, minus one.*****" localSheetId="9" hidden="1">#N/A</definedName>
    <definedName name="_t_rfc" comment="Bit_Field_EMIF_SDRAM_TIM_3_VAL*****EMIF_SDRAM_TIM3[12:04] - Minimum number of DDR clock cycles from Refresh or Load Mode to Refresh or Activate, minus one.*****" localSheetId="5" hidden="1">#N/A</definedName>
    <definedName name="_t_rfc" comment="Bit_Field_EMIF_SDRAM_TIM_3_VAL*****EMIF_SDRAM_TIM3[12:04] - Minimum number of DDR clock cycles from Refresh or Load Mode to Refresh or Activate, minus one.*****" hidden="1">IF(_enable_jedec=1,'Title-README'!_t_rfc_jedec,_t_rfc_user)</definedName>
    <definedName name="_t_rfc_ck_user" comment="User_Input**********" hidden="1">'[1]Step3-DDRTimings'!$F$41</definedName>
    <definedName name="_t_rfc_ddr2" comment="JEDEC_DDR2_SPEC**********" localSheetId="0" hidden="1">{75;105;127.5;195;327.5}</definedName>
    <definedName name="_t_rfc_ddr2" hidden="1">{75;105;127.5;195;327.5}</definedName>
    <definedName name="_t_rfc_ddr3" comment="JEDEC_DDR3_SPEC**********" localSheetId="0" hidden="1">{90;110;160;260;350}</definedName>
    <definedName name="_t_rfc_ddr3" hidden="1">{90;110;160;260;350}</definedName>
    <definedName name="_t_rfc_jedec" comment="Bit_Field_Conversion_SDRAM_TIM3**********INTERNAL ONLY" localSheetId="0" hidden="1">IFERROR(ROUNDUP('Title-README'!_t_rfc_ns*_ddr_pll_freq/1000,0)-1,0)</definedName>
    <definedName name="_t_rfc_jedec" hidden="1">IFERROR(ROUNDUP(_t_rfc_ns*_ddr_pll_freq/1000,0)-1,0)</definedName>
    <definedName name="_t_rfc_lpddr2" comment="JEDEC_LPDDR2_SPEC**********" localSheetId="0" hidden="1">{90;90;130;130;130;210}</definedName>
    <definedName name="_t_rfc_lpddr2" hidden="1">{90;90;130;130;130;210}</definedName>
    <definedName name="_t_rfc_ns" comment="JEDEC_Lookup**********" localSheetId="0" hidden="1">IF(_sdram_type="LPDDR2",INDEX('Title-README'!_t_rfc_lpddr2,MATCH(_sdram_density,'Title-README'!_lpddr2_densities,0)),IF(_sdram_type="DDR2",INDEX('Title-README'!_t_rfc_ddr2,MATCH(_sdram_density,'Title-README'!_ddr2_densities,0)),INDEX('Title-README'!_t_rfc_ddr3,MATCH(_sdram_density,'Title-README'!_ddr3_densities,0))))</definedName>
    <definedName name="_t_rfc_ns" hidden="1">IF(_sdram_type="LPDDR2",INDEX(_t_rfc_lpddr2,MATCH(_sdram_density,_lpddr2_densities,0)),IF(_sdram_type="DDR2",INDEX(_t_rfc_ddr2,MATCH(_sdram_density,_ddr2_densities,0)),INDEX(_t_rfc_ddr3,MATCH(_sdram_density,_ddr3_densities,0))))</definedName>
    <definedName name="_t_rfc_ns_user" comment="User_Input**********" hidden="1">'[1]Step3-DDRTimings'!$G$41</definedName>
    <definedName name="_t_rfc_user" comment="Bit_Field_Conversion_SDRAM_TIM3**********" hidden="1">MAX(MIN(ROUNDUP(MAX(_t_rfc_ck_user, _t_rfc_ns_user*_ddr_pll_freq/1000),0)-1,2^9-1),0)</definedName>
    <definedName name="_t_rp" comment="Bit_Field_EMIF_SDRAM_TIM_1_VAL*****EMIF_SDRAM_TIM1[28:25] - Minimum number of DDR clock cycles from Precharge to Activate or Refresh, minus one.*****" localSheetId="7" hidden="1">#N/A</definedName>
    <definedName name="_t_rp" comment="Bit_Field_EMIF_SDRAM_TIM_1_VAL*****EMIF_SDRAM_TIM1[28:25] - Minimum number of DDR clock cycles from Precharge to Activate or Refresh, minus one.*****" localSheetId="9" hidden="1">#N/A</definedName>
    <definedName name="_t_rp" comment="Bit_Field_EMIF_SDRAM_TIM_1_VAL*****EMIF_SDRAM_TIM1[28:25] - Minimum number of DDR clock cycles from Precharge to Activate or Refresh, minus one.*****" localSheetId="5" hidden="1">#N/A</definedName>
    <definedName name="_t_rp" comment="Bit_Field_EMIF_SDRAM_TIM_1_VAL*****EMIF_SDRAM_TIM1[28:25] - Minimum number of DDR clock cycles from Precharge to Activate or Refresh, minus one.*****" hidden="1">IF(_enable_jedec=1,'Title-README'!_t_rp_jedec,_t_rp_user)</definedName>
    <definedName name="_t_rp_ck_user" comment="User_Input**********" hidden="1">'[1]Step3-DDRTimings'!$F$27</definedName>
    <definedName name="_t_rp_jedec" comment="Bit_Field_Conversion_SDRAM_TIM1**********INTERNAL ONLY" localSheetId="0" hidden="1">IFERROR(ROUNDUP('Title-README'!_t_rp_ns*_ddr_pll_freq/1000,0)-1,0)</definedName>
    <definedName name="_t_rp_jedec" hidden="1">IFERROR(ROUNDUP(_t_rp_ns*_ddr_pll_freq/1000,0)-1,0)</definedName>
    <definedName name="_t_rp_ns" comment="JEDEC_Lookup**********Using TYPICAL for LPDDR2; using all banks" localSheetId="0" hidden="1">IF(_sdram_type="LPDDR2",MAX(3*1000/_ddr_pll_freq,IF('Title-README'!_sdram_config_ibank=4,18,21)),IF(_sdram_type="DDR2",INDEX('Title-README'!_ddr2_sb_rp,'Title-README'!_sdram_sb),INDEX('Title-README'!_ddr3_sb_rp,'Title-README'!_sdram_sb)))</definedName>
    <definedName name="_t_rp_ns" hidden="1">IF(_sdram_type="LPDDR2",MAX(3*1000/_ddr_pll_freq,IF(_sdram_config_ibank=4,18,21)),IF(_sdram_type="DDR2",INDEX(_ddr2_sb_rp,_sdram_sb),INDEX(_ddr3_sb_rp,_sdram_sb)))</definedName>
    <definedName name="_t_rp_ns_user" comment="User_Input**********" hidden="1">'[1]Step3-DDRTimings'!$G$27</definedName>
    <definedName name="_t_rp_user" comment="Bit_Field_Conversion_SDRAM_TIM1**********" hidden="1">MAX(MIN(ROUNDUP(MAX(_t_rp_ck_user, _t_rp_ns_user*_ddr_pll_freq/1000),0)-1,2^4-1),0)</definedName>
    <definedName name="_t_rrd" comment="Bit_Field_EMIF_SDRAM_TIM_1_VAL*****EMIF_SDRAM_TIM1[05:03] - Minimum number of DDR clock cycles from Activate to Activate for a different bank, minus one. For an 8-bank DDR2, this field must be equal to ((((4*tRRD)+(2*tCK))/(4*tCK))-1).*****" localSheetId="7" hidden="1">#N/A</definedName>
    <definedName name="_t_rrd" comment="Bit_Field_EMIF_SDRAM_TIM_1_VAL*****EMIF_SDRAM_TIM1[05:03] - Minimum number of DDR clock cycles from Activate to Activate for a different bank, minus one. For an 8-bank DDR2, this field must be equal to ((((4*tRRD)+(2*tCK))/(4*tCK))-1).*****" localSheetId="9" hidden="1">#N/A</definedName>
    <definedName name="_t_rrd" comment="Bit_Field_EMIF_SDRAM_TIM_1_VAL*****EMIF_SDRAM_TIM1[05:03] - Minimum number of DDR clock cycles from Activate to Activate for a different bank, minus one. For an 8-bank DDR2, this field must be equal to ((((4*tRRD)+(2*tCK))/(4*tCK))-1).*****" localSheetId="5" hidden="1">#N/A</definedName>
    <definedName name="_t_rrd" comment="Bit_Field_EMIF_SDRAM_TIM_1_VAL*****EMIF_SDRAM_TIM1[05:03] - Minimum number of DDR clock cycles from Activate to Activate for a different bank, minus one. For an 8-bank DDR2, this field must be equal to ((((4*tRRD)+(2*tCK))/(4*tCK))-1).*****" hidden="1">IF(_enable_jedec=1,'Title-README'!_t_rrd_jedec,_t_rrd_user)</definedName>
    <definedName name="_t_rrd_ck_user" comment="User_Input**********" hidden="1">'[1]Step3-DDRTimings'!$F$32</definedName>
    <definedName name="_t_rrd_jedec" comment="Bit_Field_Conversion_SDRAM_TIM1**********INTERNAL ONLY" localSheetId="0" hidden="1">IFERROR(ROUNDUP('Title-README'!_t_rrd_ns*_ddr_pll_freq/1000,0)-1,0)</definedName>
    <definedName name="_t_rrd_jedec" hidden="1">IFERROR(ROUNDUP(_t_rrd_ns*_ddr_pll_freq/1000,0)-1,0)</definedName>
    <definedName name="_t_rrd_ns" comment="JEDEC_Lookup**********" localSheetId="0" hidden="1">IF(_sdram_type="LPDDR2",MAX(2*1000/_ddr_pll_freq,10),IF(_sdram_type="DDR2",IF('Title-README'!_sdram_pagesize=2048,10,7.5),IF('Title-README'!_sdram_pagesize=2048,MAX(4*1000/_ddr_pll_freq,INDEX('Title-README'!_ddr3_sb_rrd_2k,'Title-README'!_sdram_sb)),MAX(4*1000/_ddr_pll_freq,INDEX('Title-README'!_ddr3_sb_rrd_1k,'Title-README'!_sdram_sb)))))</definedName>
    <definedName name="_t_rrd_ns" hidden="1">IF(_sdram_type="LPDDR2",MAX(2*1000/_ddr_pll_freq,10),IF(_sdram_type="DDR2",IF(_sdram_pagesize=2048,10,7.5),IF(_sdram_pagesize=2048,MAX(4*1000/_ddr_pll_freq,INDEX(_ddr3_sb_rrd_2k,_sdram_sb)),MAX(4*1000/_ddr_pll_freq,INDEX(_ddr3_sb_rrd_1k,_sdram_sb)))))</definedName>
    <definedName name="_t_rrd_ns_user" comment="User_Input**********" hidden="1">'[1]Step3-DDRTimings'!$G$32</definedName>
    <definedName name="_t_rrd_user" comment="Bit_Field_Conversion_SDRAM_TIM1**********" localSheetId="7" hidden="1">#N/A</definedName>
    <definedName name="_t_rrd_user" comment="Bit_Field_Conversion_SDRAM_TIM1**********" localSheetId="9" hidden="1">#N/A</definedName>
    <definedName name="_t_rrd_user" comment="Bit_Field_Conversion_SDRAM_TIM1**********" localSheetId="5" hidden="1">#N/A</definedName>
    <definedName name="_t_rrd_user" comment="Bit_Field_Conversion_SDRAM_TIM1**********" hidden="1">MAX(MIN(MAX(_t_faw_user,ROUNDUP(IF(AND(_sdram_type="DDR2",'Title-README'!_sdram_config_ibank=8),((4*MAX(_t_rrd_ck_user,_t_rrd_ns_user*_ddr_pll_freq/1000))+2)/4,MAX(_t_rrd_ck_user,_t_rrd_ns_user*_ddr_pll_freq/1000)),0)-1),2^3-1),0)</definedName>
    <definedName name="_t_rtp" comment="Bit_Field_EMIF_SDRAM_TIM_2_VAL*****EMIF_SDRAM_TIM2[05:03] - Minimum number of DDR clock cycles from the last Read command to a Pre-charge command for DDR2, minus one.*****" localSheetId="7" hidden="1">#N/A</definedName>
    <definedName name="_t_rtp" comment="Bit_Field_EMIF_SDRAM_TIM_2_VAL*****EMIF_SDRAM_TIM2[05:03] - Minimum number of DDR clock cycles from the last Read command to a Pre-charge command for DDR2, minus one.*****" localSheetId="9" hidden="1">#N/A</definedName>
    <definedName name="_t_rtp" comment="Bit_Field_EMIF_SDRAM_TIM_2_VAL*****EMIF_SDRAM_TIM2[05:03] - Minimum number of DDR clock cycles from the last Read command to a Pre-charge command for DDR2, minus one.*****" localSheetId="5" hidden="1">#N/A</definedName>
    <definedName name="_t_rtp" comment="Bit_Field_EMIF_SDRAM_TIM_2_VAL*****EMIF_SDRAM_TIM2[05:03] - Minimum number of DDR clock cycles from the last Read command to a Pre-charge command for DDR2, minus one.*****" hidden="1">IF(_enable_jedec=1,'Title-README'!_t_rtp_jedec,_t_rtp_user)</definedName>
    <definedName name="_t_rtp_ck_user" comment="User_Input**********" hidden="1">'[1]Step3-DDRTimings'!$F$37</definedName>
    <definedName name="_t_rtp_jedec" comment="Bit_Field_Conversion_SDRAM_TIM2**********INTERNAL ONLY" localSheetId="0" hidden="1">IFERROR(ROUNDUP('Title-README'!_t_rtp_ns*_ddr_pll_freq/1000,0)-1,0)</definedName>
    <definedName name="_t_rtp_jedec" hidden="1">IFERROR(ROUNDUP(_t_rtp_ns*_ddr_pll_freq/1000,0)-1,0)</definedName>
    <definedName name="_t_rtp_ns" comment="JEDEC_Lookup**********" localSheetId="0" hidden="1">IF(_sdram_type="LPDDR2",MAX(2*1000/_ddr_pll_freq,7.5),IF(_sdram_type="DDR2",7.5,MAX(4*1000/_ddr_pll_freq,7.5)))</definedName>
    <definedName name="_t_rtp_ns" hidden="1">IF(_sdram_type="LPDDR2",MAX(2*1000/_ddr_pll_freq,7.5),IF(_sdram_type="DDR2",7.5,MAX(4*1000/_ddr_pll_freq,7.5)))</definedName>
    <definedName name="_t_rtp_ns_user" comment="User_Input**********" hidden="1">'[1]Step3-DDRTimings'!$G$37</definedName>
    <definedName name="_t_rtp_user" comment="Bit_Field_Conversion_SDRAM_TIM2**********" hidden="1">MAX(MIN(ROUNDUP(MAX(_t_rtp_ck_user, _t_rtp_ns_user*_ddr_pll_freq/1000),0)-1,2^3-1),0)</definedName>
    <definedName name="_t_rtw" comment="Bit_Field_EMIF_SDRAM_TIM_1_VAL*****EMIF_SDRAM_TIM1[31:29]*****" hidden="1">ROUNDUP(((((MAX(_t_rdtrip_brddly_p0_ch1_cs0, _t_rdtrip_brddly_p0_ch1_cs1, _t_rdtrip_brddly_p0_ch2_cs0, _t_rdtrip_brddly_p0_ch2_cs1, _t_rdtrip_brddly_p1_ch1_cs0, _t_rdtrip_brddly_p1_ch1_cs1, _t_rdtrip_brddly_p1_ch2_cs0, _t_rdtrip_brddly_p1_ch2_cs1, _t_rdtrip_brddly_p2_ch1_cs0, _t_rdtrip_brddly_p2_ch1_cs1, _t_rdtrip_brddly_p2_ch2_cs0, _t_rdtrip_brddly_p2_ch2_cs1, _t_rdtrip_brddly_p3_ch1_cs0, _t_rdtrip_brddly_p3_ch1_cs1, _t_rdtrip_brddly_p3_ch2_cs0, _t_rdtrip_brddly_p3_ch2_cs1, _t_rdtrip_brddly_p4_ch1_cs0, _t_rdtrip_brddly_p4_ch1_cs1, _t_rdtrip_brddly_p4_ch2_cs0, _t_rdtrip_brddly_p4_ch2_cs1)+400)*_ddr_pll_freq)/1000000)+(_phy_invert_clk*0.5)),0)</definedName>
    <definedName name="_t_rtw_gel" comment="Bit_Field_EMIF_SDRAM_TIM_1_VAL*****EMIF_SDRAM_TIM1[31:29] - Minimum number of DDR clock cycles between Read to Write data phases, minus one. *****Configured to match GEL" hidden="1">6</definedName>
    <definedName name="_t_rtw_jedec" comment="**********" hidden="1">0</definedName>
    <definedName name="_t_wr" comment="Bit_Field_EMIF_SDRAM_TIM_1_VAL*****EMIF_SDRAM_TIM1[20:17] - Minimum number of DDR clock cycles from last Write transfer to Pre-charge, minus one. The SDRAM initialization sequence will be started when the value of this field is changed from the previous v" localSheetId="7" hidden="1">#N/A</definedName>
    <definedName name="_t_wr" comment="Bit_Field_EMIF_SDRAM_TIM_1_VAL*****EMIF_SDRAM_TIM1[20:17] - Minimum number of DDR clock cycles from last Write transfer to Pre-charge, minus one. The SDRAM initialization sequence will be started when the value of this field is changed from the previous v" localSheetId="9" hidden="1">#N/A</definedName>
    <definedName name="_t_wr" comment="Bit_Field_EMIF_SDRAM_TIM_1_VAL*****EMIF_SDRAM_TIM1[20:17] - Minimum number of DDR clock cycles from last Write transfer to Pre-charge, minus one. The SDRAM initialization sequence will be started when the value of this field is changed from the previous v" localSheetId="5" hidden="1">#N/A</definedName>
    <definedName name="_t_wr" comment="Bit_Field_EMIF_SDRAM_TIM_1_VAL*****EMIF_SDRAM_TIM1[20:17] - Minimum number of DDR clock cycles from last Write transfer to Pre-charge, minus one. The SDRAM initialization sequence will be started when the value of this field is changed from the previous v" hidden="1">IF(_enable_jedec=1,'Title-README'!_t_wr_jedec,_t_wr_user)</definedName>
    <definedName name="_t_wr_ck_user" comment="User_Input**********" hidden="1">'[1]Step3-DDRTimings'!$F$29</definedName>
    <definedName name="_t_wr_jedec" comment="Bit_Field_Conversion_SDRAM_TIM1**********INTERNAL ONLY" localSheetId="0" hidden="1">IFERROR(ROUNDUP('Title-README'!_t_wr_ns*_ddr_pll_freq/1000,0)-1,0)</definedName>
    <definedName name="_t_wr_jedec" hidden="1">IFERROR(ROUNDUP(_t_wr_ns*_ddr_pll_freq/1000,0)-1,0)</definedName>
    <definedName name="_t_wr_ns" comment="JEDEC_Lookup**********" localSheetId="0" hidden="1">IF(_sdram_type="LPDDR2",MAX(3*1000/_ddr_pll_freq,15),15)</definedName>
    <definedName name="_t_wr_ns" hidden="1">IF(_sdram_type="LPDDR2",MAX(3*1000/_ddr_pll_freq,15),15)</definedName>
    <definedName name="_t_wr_ns_user" comment="User_Input**********" hidden="1">'[1]Step3-DDRTimings'!$G$29</definedName>
    <definedName name="_t_wr_user" comment="Bit_Field_Conversion_SDRAM_TIM1**********" hidden="1">MAX(MIN(ROUNDUP(MAX(_t_wr_ck_user, _t_wr_ns_user*_ddr_pll_freq/1000),0)-1,2^4-1),0)</definedName>
    <definedName name="_t_wtr" comment="Bit_Field_EMIF_SDRAM_TIM_1_VAL*****EMIF_SDRAM_TIM1[02:00] - Minimum number of DDR clock cycles from last Write to Read, minus one.*****" localSheetId="7" hidden="1">#N/A</definedName>
    <definedName name="_t_wtr" comment="Bit_Field_EMIF_SDRAM_TIM_1_VAL*****EMIF_SDRAM_TIM1[02:00] - Minimum number of DDR clock cycles from last Write to Read, minus one.*****" localSheetId="9" hidden="1">#N/A</definedName>
    <definedName name="_t_wtr" comment="Bit_Field_EMIF_SDRAM_TIM_1_VAL*****EMIF_SDRAM_TIM1[02:00] - Minimum number of DDR clock cycles from last Write to Read, minus one.*****" localSheetId="5" hidden="1">#N/A</definedName>
    <definedName name="_t_wtr" comment="Bit_Field_EMIF_SDRAM_TIM_1_VAL*****EMIF_SDRAM_TIM1[02:00] - Minimum number of DDR clock cycles from last Write to Read, minus one.*****" hidden="1">IF(_enable_jedec=1,'Title-README'!_t_wtr_jedec,_t_wtr_user)</definedName>
    <definedName name="_t_wtr_ck_user" comment="User_Input**********" hidden="1">'[1]Step3-DDRTimings'!$F$33</definedName>
    <definedName name="_t_wtr_jedec" comment="Bit_Field_Conversion_SDRAM_TIM1**********INTERNAL ONLY" localSheetId="0" hidden="1">IFERROR(ROUNDUP('Title-README'!_t_wtr_ns*_ddr_pll_freq/1000,0)-1,0)</definedName>
    <definedName name="_t_wtr_jedec" hidden="1">IFERROR(ROUNDUP(_t_wtr_ns*_ddr_pll_freq/1000,0)-1,0)</definedName>
    <definedName name="_t_wtr_ns" comment="JEDEC_Lookup**********" localSheetId="0" hidden="1">IF(_sdram_type="LPDDR2",MAX(2*1000/_ddr_pll_freq,INDEX('Title-README'!_lpddr2_sb_wtr,'Title-README'!_sdram_sb)),IF(_sdram_type="DDR2",INDEX('Title-README'!_ddr2_sb_wtr,'Title-README'!_sdram_sb),MAX(4*1000/_ddr_pll_freq,7.5)))</definedName>
    <definedName name="_t_wtr_ns" hidden="1">IF(_sdram_type="LPDDR2",MAX(2*1000/_ddr_pll_freq,INDEX(_lpddr2_sb_wtr,_sdram_sb)),IF(_sdram_type="DDR2",INDEX(_ddr2_sb_wtr,_sdram_sb),MAX(4*1000/_ddr_pll_freq,7.5)))</definedName>
    <definedName name="_t_wtr_ns_user" comment="User_Input**********" hidden="1">'[1]Step3-DDRTimings'!$G$33</definedName>
    <definedName name="_t_wtr_user" comment="Bit_Field_Conversion_SDRAM_TIM1**********" hidden="1">MAX(MIN(ROUNDUP(MAX(_t_wtr_ck_user, _t_wtr_ns_user*_ddr_pll_freq/1000),0)-1,2^3-1),0)</definedName>
    <definedName name="_t_xp" comment="Bit_Field_EMIF_SDRAM_TIM_2_VAL*****EMIF_SDRAM_TIM2[30:28] - Minimum number of DDR clock cycles from Powerdown exit to any command other than a Read command, minus one. For DDR2 and LPDDR1, this field must satisfy greater of tXP or tCKE.*****" localSheetId="7" hidden="1">#N/A</definedName>
    <definedName name="_t_xp" comment="Bit_Field_EMIF_SDRAM_TIM_2_VAL*****EMIF_SDRAM_TIM2[30:28] - Minimum number of DDR clock cycles from Powerdown exit to any command other than a Read command, minus one. For DDR2 and LPDDR1, this field must satisfy greater of tXP or tCKE.*****" localSheetId="9" hidden="1">#N/A</definedName>
    <definedName name="_t_xp" comment="Bit_Field_EMIF_SDRAM_TIM_2_VAL*****EMIF_SDRAM_TIM2[30:28] - Minimum number of DDR clock cycles from Powerdown exit to any command other than a Read command, minus one. For DDR2 and LPDDR1, this field must satisfy greater of tXP or tCKE.*****" localSheetId="5" hidden="1">#N/A</definedName>
    <definedName name="_t_xp" comment="Bit_Field_EMIF_SDRAM_TIM_2_VAL*****EMIF_SDRAM_TIM2[30:28] - Minimum number of DDR clock cycles from Powerdown exit to any command other than a Read command, minus one. For DDR2 and LPDDR1, this field must satisfy greater of tXP or tCKE.*****" hidden="1">IF(_enable_jedec=1,'Title-README'!_t_xp_jedec,IF(_sdram_type="DDR2",MAX(_t_xp_user,_t_cke_user),_t_xp_user))</definedName>
    <definedName name="_t_xp_ck_user" comment="User_Input**********" hidden="1">'[1]Step3-DDRTimings'!$F$34</definedName>
    <definedName name="_t_xp_jedec" comment="Bit_Field_Conversion_SDRAM_TIM2**********INTERNAL ONLY" localSheetId="0" hidden="1">IFERROR(ROUNDUP('Title-README'!_t_xp_ns*_ddr_pll_freq/1000,0)-1,0)</definedName>
    <definedName name="_t_xp_jedec" hidden="1">IFERROR(ROUNDUP(_t_xp_ns*_ddr_pll_freq/1000,0)-1,0)</definedName>
    <definedName name="_t_xp_ns" comment="JEDEC_Lookup**********" localSheetId="0" hidden="1">IF(_sdram_type="LPDDR2",MAX(2*1000/_ddr_pll_freq,7.5),IF(_sdram_type="DDR2",2*1000/_ddr_pll_freq,MAX(3*1000/_ddr_pll_freq,INDEX('Title-README'!_ddr3_sb_xp,'Title-README'!_sdram_sb))))</definedName>
    <definedName name="_t_xp_ns" hidden="1">IF(_sdram_type="LPDDR2",MAX(2*1000/_ddr_pll_freq,7.5),IF(_sdram_type="DDR2",2*1000/_ddr_pll_freq,MAX(3*1000/_ddr_pll_freq,INDEX(_ddr3_sb_xp,_sdram_sb))))</definedName>
    <definedName name="_t_xp_ns_user" comment="User_Input**********" hidden="1">'[1]Step3-DDRTimings'!$G$34</definedName>
    <definedName name="_t_xp_user" comment="Bit_Field_Conversion_SDRAM_TIM2**********" hidden="1">MAX(MIN(ROUNDUP(MAX(_t_xp_ck_user, _t_xp_ns_user*_ddr_pll_freq/1000),0)-1,2^3-1),0)</definedName>
    <definedName name="_t_xsnr" comment="Bit_Field_EMIF_SDRAM_TIM_2_VAL*****EMIF_SDRAM_TIM2[24:16] - Minimum number of DDR clock cycles from Self-Refresh exit to any command other than a Read command, minus one.*****" localSheetId="7" hidden="1">#N/A</definedName>
    <definedName name="_t_xsnr" comment="Bit_Field_EMIF_SDRAM_TIM_2_VAL*****EMIF_SDRAM_TIM2[24:16] - Minimum number of DDR clock cycles from Self-Refresh exit to any command other than a Read command, minus one.*****" localSheetId="9" hidden="1">#N/A</definedName>
    <definedName name="_t_xsnr" comment="Bit_Field_EMIF_SDRAM_TIM_2_VAL*****EMIF_SDRAM_TIM2[24:16] - Minimum number of DDR clock cycles from Self-Refresh exit to any command other than a Read command, minus one.*****" localSheetId="5" hidden="1">#N/A</definedName>
    <definedName name="_t_xsnr" comment="Bit_Field_EMIF_SDRAM_TIM_2_VAL*****EMIF_SDRAM_TIM2[24:16] - Minimum number of DDR clock cycles from Self-Refresh exit to any command other than a Read command, minus one.*****" hidden="1">IF(_enable_jedec=1,'Title-README'!_t_xsnr_jedec,_t_xsnr_user)</definedName>
    <definedName name="_t_xsnr_ck_user" comment="User_Input**********" hidden="1">'[1]Step3-DDRTimings'!$F$35</definedName>
    <definedName name="_t_xsnr_jedec" comment="Bit_Field_Conversion_SDRAM_TIM2**********INTERNAL ONLY" localSheetId="0" hidden="1">IFERROR(ROUNDUP('Title-README'!_t_xsnr_ns*_ddr_pll_freq/1000,0)-1,0)</definedName>
    <definedName name="_t_xsnr_jedec" hidden="1">IFERROR(ROUNDUP(_t_xsnr_ns*_ddr_pll_freq/1000,0)-1,0)</definedName>
    <definedName name="_t_xsnr_ns" comment="JEDEC_Lookup**********" localSheetId="0" hidden="1">IF(_sdram_type="LPDDR2",MAX(2*1000/_ddr_pll_freq,'Title-README'!_t_rfc_ns+10),IF(_sdram_type="DDR2",'Title-README'!_t_rfc_ns+10,MAX(5*1000/_ddr_pll_freq,'Title-README'!_t_rfc_ns+10)))</definedName>
    <definedName name="_t_xsnr_ns" hidden="1">IF(_sdram_type="LPDDR2",MAX(2*1000/_ddr_pll_freq,_t_rfc_ns+10),IF(_sdram_type="DDR2",_t_rfc_ns+10,MAX(5*1000/_ddr_pll_freq,_t_rfc_ns+10)))</definedName>
    <definedName name="_t_xsnr_ns_user" comment="User_Input**********" hidden="1">'[1]Step3-DDRTimings'!$G$35</definedName>
    <definedName name="_t_xsnr_user" comment="Bit_Field_Conversion_SDRAM_TIM2**********" hidden="1">MAX(MIN(ROUNDUP(MAX(_t_xsnr_ck_user, _t_xsnr_ns_user*_ddr_pll_freq/1000),0)-1,2^9-1),0)</definedName>
    <definedName name="_t_xsrd" comment="Bit_Field_EMIF_SDRAM_TIM_2_VAL*****EMIF_SDRAM_TIM2[15:06] - Minimum number of DDR clock cycles from Self-Refresh exit to a Read command, minus one.*****" localSheetId="7" hidden="1">#N/A</definedName>
    <definedName name="_t_xsrd" comment="Bit_Field_EMIF_SDRAM_TIM_2_VAL*****EMIF_SDRAM_TIM2[15:06] - Minimum number of DDR clock cycles from Self-Refresh exit to a Read command, minus one.*****" localSheetId="9" hidden="1">#N/A</definedName>
    <definedName name="_t_xsrd" comment="Bit_Field_EMIF_SDRAM_TIM_2_VAL*****EMIF_SDRAM_TIM2[15:06] - Minimum number of DDR clock cycles from Self-Refresh exit to a Read command, minus one.*****" localSheetId="5" hidden="1">#N/A</definedName>
    <definedName name="_t_xsrd" comment="Bit_Field_EMIF_SDRAM_TIM_2_VAL*****EMIF_SDRAM_TIM2[15:06] - Minimum number of DDR clock cycles from Self-Refresh exit to a Read command, minus one.*****" hidden="1">IF(_enable_jedec=1,'Title-README'!_t_xsrd_jedec,_t_xsrd_user)</definedName>
    <definedName name="_t_xsrd_ck_user" comment="User_Input**********" hidden="1">'[1]Step3-DDRTimings'!$F$36</definedName>
    <definedName name="_t_xsrd_jedec" comment="Bit_Field_Conversion_SDRAM_TIM2**********INTERNAL ONLY" localSheetId="0" hidden="1">IFERROR(ROUNDUP('Title-README'!_t_xsrd_ns*_ddr_pll_freq/1000,0)-1,0)</definedName>
    <definedName name="_t_xsrd_jedec" hidden="1">IFERROR(ROUNDUP(_t_xsrd_ns*_ddr_pll_freq/1000,0)-1,0)</definedName>
    <definedName name="_t_xsrd_ns" comment="JEDEC_Lookup**********" localSheetId="0" hidden="1">IF(_sdram_type="LPDDR2",'Title-README'!_t_xsnr_ns,IF(_sdram_type="DDR2",200*1000/_ddr_pll_freq,'Title-README'!_t_dllk_ns))</definedName>
    <definedName name="_t_xsrd_ns" hidden="1">IF(_sdram_type="LPDDR2",_t_xsnr_ns,IF(_sdram_type="DDR2",200*1000/_ddr_pll_freq,_t_dllk_ns))</definedName>
    <definedName name="_t_xsrd_ns_user" comment="User_Input**********" hidden="1">'[1]Step3-DDRTimings'!$G$36</definedName>
    <definedName name="_t_xsrd_user" comment="Bit_Field_Conversion_SDRAM_TIM2**********" hidden="1">MAX(MIN(ROUNDUP(MAX(_t_xsrd_ck_user, _t_xsrd_ns_user*_ddr_pll_freq/1000),0)-1,2^10-1),0)</definedName>
    <definedName name="_t_zqcs" comment="Bit_Field_EMIF_SDRAM_TIM_3_VAL*****EMIF_SDRAM_TIM3[20:15] - Number of DDR clock cycles for a ZQCS command, minus one.*****" localSheetId="7" hidden="1">#N/A</definedName>
    <definedName name="_t_zqcs" comment="Bit_Field_EMIF_SDRAM_TIM_3_VAL*****EMIF_SDRAM_TIM3[20:15] - Number of DDR clock cycles for a ZQCS command, minus one.*****" localSheetId="9" hidden="1">#N/A</definedName>
    <definedName name="_t_zqcs" comment="Bit_Field_EMIF_SDRAM_TIM_3_VAL*****EMIF_SDRAM_TIM3[20:15] - Number of DDR clock cycles for a ZQCS command, minus one.*****" localSheetId="5" hidden="1">#N/A</definedName>
    <definedName name="_t_zqcs" comment="Bit_Field_EMIF_SDRAM_TIM_3_VAL*****EMIF_SDRAM_TIM3[20:15] - Number of DDR clock cycles for a ZQCS command, minus one.*****" hidden="1">IF(_enable_jedec=1,'Title-README'!_t_zqcs_jedec,_t_zqcs_user)</definedName>
    <definedName name="_t_zqcs_ck_user" comment="User_Input**********" hidden="1">'[1]Step3-DDRTimings'!$F$40</definedName>
    <definedName name="_t_zqcs_jedec" comment="Bit_Field_Conversion_SDRAM_TIM3**********INTERNAL ONLY" localSheetId="0" hidden="1">IFERROR(ROUNDUP('Title-README'!_t_zqcs_ns*_ddr_pll_freq/1000,0)-1,0)</definedName>
    <definedName name="_t_zqcs_jedec" hidden="1">IFERROR(ROUNDUP(_t_zqcs_ns*_ddr_pll_freq/1000,0)-1,0)</definedName>
    <definedName name="_t_zqcs_ns" comment="JEDEC_Lookup**********" localSheetId="0" hidden="1">IF(_sdram_type="LPDDR2",MAX(6*1000/_ddr_pll_freq,90),MAX(64*1000/_ddr_pll_freq,80))</definedName>
    <definedName name="_t_zqcs_ns" hidden="1">IF(_sdram_type="LPDDR2",MAX(6*1000/_ddr_pll_freq,90),MAX(64*1000/_ddr_pll_freq,80))</definedName>
    <definedName name="_t_zqcs_ns_user" comment="User_Input**********" hidden="1">'[1]Step3-DDRTimings'!$G$40</definedName>
    <definedName name="_t_zqcs_user" comment="Bit_Field_Conversion_SDRAM_TIM3**********" hidden="1">MAX(MIN(ROUNDUP(MAX(_t_zqcs_ck_user, _t_zqcs_ns_user*_ddr_pll_freq/1000),0)-1,2^6-1),0)</definedName>
    <definedName name="_tda3x_evm_rdtrip_delay_emif1" comment="**********" hidden="1">0</definedName>
    <definedName name="_ti_supported_socs" hidden="1">CONCATENATE([1]DynamicUserOptions!$V$6,[1]DynamicUserOptions!$V$7,[1]DynamicUserOptions!$V$8,[1]DynamicUserOptions!$V$9,[1]DynamicUserOptions!$V$10,[1]DynamicUserOptions!$V$11,[1]DynamicUserOptions!$V$12,[1]DynamicUserOptions!$V$13,[1]DynamicUserOptions!$V$14,[1]DynamicUserOptions!$V$15,[1]DynamicUserOptions!$V$16,[1]DynamicUserOptions!$V$17,[1]DynamicUserOptions!$V$18,[1]DynamicUserOptions!$V$19)</definedName>
    <definedName name="_tl_clk_p0_mi_ch1_cs0" comment="User_Input**********" hidden="1">'[1]Step2-BoardDetails'!$E$28</definedName>
    <definedName name="_tl_clk_p0_mi_ch1_cs1" comment="User_Input**********" hidden="1">'[1]Step2-BoardDetails'!$E$38</definedName>
    <definedName name="_tl_clk_p0_mi_ch2_cs0" comment="User_Input**********" hidden="1">'[1]Step2-BoardDetails'!$E$48</definedName>
    <definedName name="_tl_clk_p0_mi_ch2_cs1" comment="User_Input**********" hidden="1">'[1]Step2-BoardDetails'!$E$58</definedName>
    <definedName name="_tl_clk_p0_st_ch1_cs0" comment="User_Input**********" hidden="1">'[1]Step2-BoardDetails'!$F$28</definedName>
    <definedName name="_tl_clk_p0_st_ch1_cs1" comment="User_Input**********" hidden="1">'[1]Step2-BoardDetails'!$F$38</definedName>
    <definedName name="_tl_clk_p0_st_ch2_cs0" comment="User_Input**********" hidden="1">'[1]Step2-BoardDetails'!$F$48</definedName>
    <definedName name="_tl_clk_p0_st_ch2_cs1" comment="User_Input**********" hidden="1">'[1]Step2-BoardDetails'!$F$58</definedName>
    <definedName name="_tl_clk_p1_mi_ch1_cs0" comment="User_Input**********" hidden="1">'[1]Step2-BoardDetails'!$G$28</definedName>
    <definedName name="_tl_clk_p1_mi_ch1_cs1" comment="User_Input**********" hidden="1">'[1]Step2-BoardDetails'!$G$38</definedName>
    <definedName name="_tl_clk_p1_mi_ch2_cs0" comment="User_Input**********" hidden="1">'[1]Step2-BoardDetails'!$G$48</definedName>
    <definedName name="_tl_clk_p1_mi_ch2_cs1" comment="User_Input**********" hidden="1">'[1]Step2-BoardDetails'!$G$58</definedName>
    <definedName name="_tl_clk_p1_st_ch1_cs0" comment="User_Input**********" hidden="1">'[1]Step2-BoardDetails'!$H$28</definedName>
    <definedName name="_tl_clk_p1_st_ch1_cs1" comment="User_Input**********" hidden="1">'[1]Step2-BoardDetails'!$H$38</definedName>
    <definedName name="_tl_clk_p1_st_ch2_cs0" comment="User_Input**********" hidden="1">'[1]Step2-BoardDetails'!$H$48</definedName>
    <definedName name="_tl_clk_p1_st_ch2_cs1" comment="User_Input**********" hidden="1">'[1]Step2-BoardDetails'!$H$58</definedName>
    <definedName name="_tl_clk_p2_mi_ch1_cs0" comment="User_Input**********" hidden="1">'[1]Step2-BoardDetails'!$I$28</definedName>
    <definedName name="_tl_clk_p2_mi_ch1_cs1" comment="User_Input**********" hidden="1">'[1]Step2-BoardDetails'!$I$38</definedName>
    <definedName name="_tl_clk_p2_mi_ch2_cs0" comment="User_Input**********" hidden="1">'[1]Step2-BoardDetails'!$I$48</definedName>
    <definedName name="_tl_clk_p2_mi_ch2_cs1" comment="User_Input**********" hidden="1">'[1]Step2-BoardDetails'!$I$58</definedName>
    <definedName name="_tl_clk_p2_st_ch1_cs0" comment="User_Input**********" hidden="1">'[1]Step2-BoardDetails'!$J$28</definedName>
    <definedName name="_tl_clk_p2_st_ch1_cs1" comment="User_Input**********" hidden="1">'[1]Step2-BoardDetails'!$J$38</definedName>
    <definedName name="_tl_clk_p2_st_ch2_cs0" comment="User_Input**********" hidden="1">'[1]Step2-BoardDetails'!$J$48</definedName>
    <definedName name="_tl_clk_p2_st_ch2_cs1" comment="User_Input**********" hidden="1">'[1]Step2-BoardDetails'!$J$58</definedName>
    <definedName name="_tl_clk_p3_mi_ch1_cs0" comment="User_Input**********" hidden="1">'[1]Step2-BoardDetails'!$K$28</definedName>
    <definedName name="_tl_clk_p3_mi_ch1_cs1" comment="User_Input**********" hidden="1">'[1]Step2-BoardDetails'!$K$38</definedName>
    <definedName name="_tl_clk_p3_mi_ch2_cs0" comment="User_Input**********" hidden="1">'[1]Step2-BoardDetails'!$K$48</definedName>
    <definedName name="_tl_clk_p3_mi_ch2_cs1" comment="User_Input**********" hidden="1">'[1]Step2-BoardDetails'!$K$58</definedName>
    <definedName name="_tl_clk_p3_st_ch1_cs0" comment="User_Input**********" hidden="1">'[1]Step2-BoardDetails'!$L$28</definedName>
    <definedName name="_tl_clk_p3_st_ch1_cs1" comment="User_Input**********" hidden="1">'[1]Step2-BoardDetails'!$L$38</definedName>
    <definedName name="_tl_clk_p3_st_ch2_cs0" comment="User_Input**********" hidden="1">'[1]Step2-BoardDetails'!$L$48</definedName>
    <definedName name="_tl_clk_p3_st_ch2_cs1" comment="User_Input**********" hidden="1">'[1]Step2-BoardDetails'!$L$58</definedName>
    <definedName name="_tl_clk_p4_mi_ch1_cs0" comment="User_Input**********" hidden="1">'[1]Step2-BoardDetails'!$M$28</definedName>
    <definedName name="_tl_clk_p4_mi_ch1_cs1" comment="User_Input**********" hidden="1">'[1]Step2-BoardDetails'!$M$38</definedName>
    <definedName name="_tl_clk_p4_mi_ch2_cs0" comment="User_Input**********" hidden="1">'[1]Step2-BoardDetails'!$M$48</definedName>
    <definedName name="_tl_clk_p4_mi_ch2_cs1" comment="User_Input**********" hidden="1">'[1]Step2-BoardDetails'!$M$58</definedName>
    <definedName name="_tl_clk_p4_st_ch1_cs0" comment="User_Input**********" hidden="1">'[1]Step2-BoardDetails'!$N$28</definedName>
    <definedName name="_tl_clk_p4_st_ch1_cs1" comment="User_Input**********" hidden="1">'[1]Step2-BoardDetails'!$N$38</definedName>
    <definedName name="_tl_clk_p4_st_ch2_cs0" comment="User_Input**********" hidden="1">'[1]Step2-BoardDetails'!$N$48</definedName>
    <definedName name="_tl_clk_p4_st_ch2_cs1" comment="User_Input**********" hidden="1">'[1]Step2-BoardDetails'!$N$58</definedName>
    <definedName name="_tl_dqs0_mi_ch1_cs0" comment="User_Input**********" hidden="1">'[1]Step2-BoardDetails'!$E$29</definedName>
    <definedName name="_tl_dqs0_mi_ch1_cs1" comment="User_Input**********" hidden="1">'[1]Step2-BoardDetails'!$E$39</definedName>
    <definedName name="_tl_dqs0_mi_ch2_cs0" comment="User_Input**********" hidden="1">'[1]Step2-BoardDetails'!$E$49</definedName>
    <definedName name="_tl_dqs0_mi_ch2_cs1" comment="User_Input**********" hidden="1">'[1]Step2-BoardDetails'!$E$59</definedName>
    <definedName name="_tl_dqs0_st_ch1_cs0" comment="User_Input**********" hidden="1">'[1]Step2-BoardDetails'!$F$29</definedName>
    <definedName name="_tl_dqs0_st_ch1_cs1" comment="User_Input**********" hidden="1">'[1]Step2-BoardDetails'!$F$39</definedName>
    <definedName name="_tl_dqs0_st_ch2_cs0" comment="User_Input**********" hidden="1">'[1]Step2-BoardDetails'!$F$49</definedName>
    <definedName name="_tl_dqs0_st_ch2_cs1" comment="User_Input**********" hidden="1">'[1]Step2-BoardDetails'!$F$59</definedName>
    <definedName name="_tl_dqs1_mi_ch1_cs0" comment="User_Input**********" hidden="1">'[1]Step2-BoardDetails'!$G$29</definedName>
    <definedName name="_tl_dqs1_mi_ch1_cs1" comment="User_Input**********" hidden="1">'[1]Step2-BoardDetails'!$G$39</definedName>
    <definedName name="_tl_dqs1_mi_ch2_cs0" comment="User_Input**********" hidden="1">'[1]Step2-BoardDetails'!$G$49</definedName>
    <definedName name="_tl_dqs1_mi_ch2_cs1" comment="User_Input**********" hidden="1">'[1]Step2-BoardDetails'!$G$59</definedName>
    <definedName name="_tl_dqs1_st_ch1_cs0" comment="User_Input**********" hidden="1">'[1]Step2-BoardDetails'!$H$29</definedName>
    <definedName name="_tl_dqs1_st_ch1_cs1" comment="User_Input**********" hidden="1">'[1]Step2-BoardDetails'!$H$39</definedName>
    <definedName name="_tl_dqs1_st_ch2_cs0" comment="User_Input**********" hidden="1">'[1]Step2-BoardDetails'!$H$49</definedName>
    <definedName name="_tl_dqs1_st_ch2_cs1" comment="User_Input**********" hidden="1">'[1]Step2-BoardDetails'!$H$59</definedName>
    <definedName name="_tl_dqs2_mi_ch1_cs0" comment="User_Input**********" hidden="1">'[1]Step2-BoardDetails'!$I$29</definedName>
    <definedName name="_tl_dqs2_mi_ch1_cs1" comment="User_Input**********" hidden="1">'[1]Step2-BoardDetails'!$I$39</definedName>
    <definedName name="_tl_dqs2_mi_ch2_cs0" comment="User_Input**********" hidden="1">'[1]Step2-BoardDetails'!$I$49</definedName>
    <definedName name="_tl_dqs2_mi_ch2_cs1" comment="User_Input**********" hidden="1">'[1]Step2-BoardDetails'!$I$59</definedName>
    <definedName name="_tl_dqs2_st_ch1_cs0" comment="User_Input**********" hidden="1">'[1]Step2-BoardDetails'!$J$29</definedName>
    <definedName name="_tl_dqs2_st_ch1_cs1" comment="User_Input**********" hidden="1">'[1]Step2-BoardDetails'!$J$39</definedName>
    <definedName name="_tl_dqs2_st_ch2_cs0" comment="User_Input**********" hidden="1">'[1]Step2-BoardDetails'!$J$49</definedName>
    <definedName name="_tl_dqs2_st_ch2_cs1" comment="User_Input**********" hidden="1">'[1]Step2-BoardDetails'!$J$59</definedName>
    <definedName name="_tl_dqs3_mi_ch1_cs0" comment="User_Input**********" hidden="1">'[1]Step2-BoardDetails'!$K$29</definedName>
    <definedName name="_tl_dqs3_mi_ch1_cs1" comment="User_Input**********" hidden="1">'[1]Step2-BoardDetails'!$K$39</definedName>
    <definedName name="_tl_dqs3_mi_ch2_cs0" comment="User_Input**********" hidden="1">'[1]Step2-BoardDetails'!$K$49</definedName>
    <definedName name="_tl_dqs3_mi_ch2_cs1" comment="User_Input**********" hidden="1">'[1]Step2-BoardDetails'!$K$59</definedName>
    <definedName name="_tl_dqs3_st_ch1_cs0" comment="User_Input**********" hidden="1">'[1]Step2-BoardDetails'!$L$29</definedName>
    <definedName name="_tl_dqs3_st_ch1_cs1" comment="User_Input**********" hidden="1">'[1]Step2-BoardDetails'!$L$39</definedName>
    <definedName name="_tl_dqs3_st_ch2_cs0" comment="User_Input**********" hidden="1">'[1]Step2-BoardDetails'!$L$49</definedName>
    <definedName name="_tl_dqs3_st_ch2_cs1" comment="User_Input**********" hidden="1">'[1]Step2-BoardDetails'!$L$59</definedName>
    <definedName name="_tl_dqs4_mi_ch1_cs0" comment="User_Input**********" hidden="1">'[1]Step2-BoardDetails'!$M$29</definedName>
    <definedName name="_tl_dqs4_mi_ch1_cs1" comment="User_Input**********" hidden="1">'[1]Step2-BoardDetails'!$M$39</definedName>
    <definedName name="_tl_dqs4_mi_ch2_cs0" comment="User_Input**********" hidden="1">'[1]Step2-BoardDetails'!$M$49</definedName>
    <definedName name="_tl_dqs4_mi_ch2_cs1" comment="User_Input**********" hidden="1">'[1]Step2-BoardDetails'!$M$59</definedName>
    <definedName name="_tl_dqs4_st_ch1_cs0" comment="User_Input**********" hidden="1">'[1]Step2-BoardDetails'!$N$29</definedName>
    <definedName name="_tl_dqs4_st_ch1_cs1" comment="User_Input**********" hidden="1">'[1]Step2-BoardDetails'!$N$39</definedName>
    <definedName name="_tl_dqs4_st_ch2_cs0" comment="User_Input**********" hidden="1">'[1]Step2-BoardDetails'!$N$49</definedName>
    <definedName name="_tl_dqs4_st_ch2_cs1" comment="User_Input**********" hidden="1">'[1]Step2-BoardDetails'!$N$59</definedName>
    <definedName name="_user_config" comment="**********" localSheetId="7" hidden="1">'Title-README'!#REF!</definedName>
    <definedName name="_user_config" comment="**********" localSheetId="9" hidden="1">'Title-README'!#REF!</definedName>
    <definedName name="_user_config" comment="**********" localSheetId="5" hidden="1">'Title-README'!#REF!</definedName>
    <definedName name="_user_config" comment="**********" hidden="1">'Title-README'!#REF!</definedName>
    <definedName name="_user_ecc" hidden="1">'[1]Step1-SystemDetails'!$F$26</definedName>
    <definedName name="_user_emifs" comment="User_Input**********" hidden="1">'[1]Step1-SystemDetails'!$F$20</definedName>
    <definedName name="_user_lvl_tech" hidden="1">'[1]Step1-SystemDetails'!$F$25</definedName>
    <definedName name="_user_soc" hidden="1">'[1]Step1-SystemDetails'!$F$18</definedName>
    <definedName name="_wrdata_ratio0_ch1_cs0" comment="Bit_Field_PHY_CTRL_EXT*****PHY_CONTROL_EXT[249:240]*****" hidden="1">_wrdqs_ratio0_ch1_cs0 + ROUND((250000 / _ddr_pll_freq / _dll_res),0)</definedName>
    <definedName name="_wrdata_ratio0_ch1_cs1" comment="Bit_Field_PHY_CTRL_EXT*****PHY_CONTROL_EXT[259:250]*****" hidden="1">_wrdqs_ratio0_ch1_cs1 + ROUND((250000 / _ddr_pll_freq / _dll_res),0)</definedName>
    <definedName name="_wrdata_ratio0_ch2_cs0" comment="Bit_Field_PHY_CTRL_EXT*****PHY_CONTROL_EXT[249:240]*****" hidden="1">_wrdqs_ratio0_ch2_cs0 + ROUND((250000 / _ddr_pll_freq / _dll_res),0)</definedName>
    <definedName name="_wrdata_ratio0_ch2_cs1" comment="Bit_Field_PHY_CTRL_EXT*****PHY_CONTROL_EXT[259:250]*****" hidden="1">_wrdqs_ratio0_ch2_cs1 + ROUND((250000 / _ddr_pll_freq / _dll_res),0)</definedName>
    <definedName name="_wrdata_ratio1_ch1_cs0" comment="Bit_Field_PHY_CTRL_EXT*****PHY_CONTROL_EXT[269:260]*****" hidden="1">_wrdqs_ratio1_ch1_cs0 + ROUND((250000 / _ddr_pll_freq / _dll_res),0)</definedName>
    <definedName name="_wrdata_ratio1_ch1_cs1" comment="Bit_Field_PHY_CTRL_EXT*****PHY_CONTROL_EXT[279:270]*****" hidden="1">_wrdqs_ratio1_ch1_cs1 + ROUND((250000 / _ddr_pll_freq / _dll_res),0)</definedName>
    <definedName name="_wrdata_ratio1_ch2_cs0" comment="Bit_Field_PHY_CTRL_EXT*****PHY_CONTROL_EXT[269:260]*****" hidden="1">_wrdqs_ratio1_ch2_cs0 + ROUND((250000 / _ddr_pll_freq / _dll_res),0)</definedName>
    <definedName name="_wrdata_ratio1_ch2_cs1" comment="Bit_Field_PHY_CTRL_EXT*****PHY_CONTROL_EXT[279:270]*****" hidden="1">_wrdqs_ratio1_ch2_cs1 + ROUND((250000 / _ddr_pll_freq / _dll_res),0)</definedName>
    <definedName name="_wrdata_ratio2_ch1_cs0" comment="Bit_Field_PHY_CTRL_EXT*****PHY_CONTROL_EXT[289:280]*****" hidden="1">_wrdqs_ratio2_ch1_cs0 + ROUND((250000 / _ddr_pll_freq / _dll_res),0)</definedName>
    <definedName name="_wrdata_ratio2_ch1_cs1" comment="Bit_Field_PHY_CTRL_EXT*****PHY_CONTROL_EXT[299:290]*****" hidden="1">_wrdqs_ratio2_ch1_cs1 + ROUND((250000 / _ddr_pll_freq / _dll_res),0)</definedName>
    <definedName name="_wrdata_ratio2_ch2_cs0" comment="Bit_Field_PHY_CTRL_EXT*****PHY_CONTROL_EXT[289:280]*****" hidden="1">_wrdqs_ratio2_ch2_cs0 + ROUND((250000 / _ddr_pll_freq / _dll_res),0)</definedName>
    <definedName name="_wrdata_ratio2_ch2_cs1" comment="Bit_Field_PHY_CTRL_EXT*****PHY_CONTROL_EXT[299:290]*****" hidden="1">_wrdqs_ratio2_ch2_cs1 + ROUND((250000 / _ddr_pll_freq / _dll_res),0)</definedName>
    <definedName name="_wrdata_ratio3_ch1_cs0" comment="Bit_Field_PHY_CTRL_EXT*****PHY_CONTROL_EXT[309:300]*****" hidden="1">_wrdqs_ratio3_ch1_cs0 + ROUND((250000 / _ddr_pll_freq / _dll_res),0)</definedName>
    <definedName name="_wrdata_ratio3_ch1_cs1" comment="Bit_Field_PHY_CTRL_EXT*****PHY_CONTROL_EXT[319:310]*****" hidden="1">_wrdqs_ratio3_ch1_cs1 + ROUND((250000 / _ddr_pll_freq / _dll_res),0)</definedName>
    <definedName name="_wrdata_ratio3_ch2_cs0" comment="Bit_Field_PHY_CTRL_EXT*****PHY_CONTROL_EXT[309:300]*****" hidden="1">_wrdqs_ratio3_ch2_cs0 + ROUND((250000 / _ddr_pll_freq / _dll_res),0)</definedName>
    <definedName name="_wrdata_ratio3_ch2_cs1" comment="Bit_Field_PHY_CTRL_EXT*****PHY_CONTROL_EXT[319:310]*****" hidden="1">_wrdqs_ratio3_ch2_cs1 + ROUND((250000 / _ddr_pll_freq / _dll_res),0)</definedName>
    <definedName name="_wrdata_ratio4_ch1_cs0" comment="Bit_Field_PHY_CTRL_EXT*****PHY_CONTROL_EXT[329:320]*****" hidden="1">_wrdqs_ratio4_ch1_cs0 + ROUND((250000 / _ddr_pll_freq / _dll_res),0)</definedName>
    <definedName name="_wrdata_ratio4_ch1_cs1" comment="Bit_Field_PHY_CTRL_EXT*****PHY_CONTROL_EXT[339:330]*****" hidden="1">_wrdqs_ratio4_ch1_cs1 + ROUND((250000 / _ddr_pll_freq / _dll_res),0)</definedName>
    <definedName name="_wrdata_ratio4_ch2_cs0" comment="Bit_Field_PHY_CTRL_EXT*****PHY_CONTROL_EXT[329:320]*****" hidden="1">_wrdqs_ratio4_ch2_cs0 + ROUND((250000 / _ddr_pll_freq / _dll_res),0)</definedName>
    <definedName name="_wrdata_ratio4_ch2_cs1" comment="Bit_Field_PHY_CTRL_EXT*****PHY_CONTROL_EXT[339:330]*****" hidden="1">_wrdqs_ratio4_ch2_cs1 + ROUND((250000 / _ddr_pll_freq / _dll_res),0)</definedName>
    <definedName name="_wrdqs_init0_ch1_cs0" comment="Bit_Field_PHY_CTRL_EXT*****PHY_CONTROL_EXT[641:632]*****" hidden="1">MAX(_wrdqs_ratio0_ch1_cs0 - ROUND((125000 / _ddr_pll_freq / _dll_res),0),0)</definedName>
    <definedName name="_wrdqs_init0_ch1_cs1" comment="Bit_Field_PHY_CTRL_EXT*****PHY_CONTROL_EXT[651:642]*****" hidden="1">MAX(_wrdqs_ratio0_ch1_cs1 - ROUND((125000 / _ddr_pll_freq / _dll_res),0),0)</definedName>
    <definedName name="_wrdqs_init0_ch2_cs0" comment="Bit_Field_PHY_CTRL_EXT*****PHY_CONTROL_EXT[641:632]*****" hidden="1">MAX(_wrdqs_ratio0_ch2_cs0 - ROUND((125000 / _ddr_pll_freq / _dll_res),0),0)</definedName>
    <definedName name="_wrdqs_init0_ch2_cs1" comment="Bit_Field_PHY_CTRL_EXT*****PHY_CONTROL_EXT[651:642]*****" hidden="1">MAX(_wrdqs_ratio0_ch2_cs1 - ROUND((125000 / _ddr_pll_freq / _dll_res),0),0)</definedName>
    <definedName name="_wrdqs_init1_ch1_cs0" comment="Bit_Field_PHY_CTRL_EXT*****PHY_CONTROL_EXT[661:652]*****" hidden="1">MAX(_wrdqs_ratio1_ch1_cs0 - ROUND((125000 / _ddr_pll_freq / _dll_res),0),0)</definedName>
    <definedName name="_wrdqs_init1_ch1_cs1" comment="Bit_Field_PHY_CTRL_EXT*****PHY_CONTROL_EXT[671:662]*****" hidden="1">MAX(_wrdqs_ratio1_ch1_cs1 - ROUND((125000 / _ddr_pll_freq / _dll_res),0),0)</definedName>
    <definedName name="_wrdqs_init1_ch2_cs0" comment="Bit_Field_PHY_CTRL_EXT*****PHY_CONTROL_EXT[661:652]*****" hidden="1">MAX(_wrdqs_ratio1_ch2_cs0 - ROUND((125000 / _ddr_pll_freq / _dll_res),0),0)</definedName>
    <definedName name="_wrdqs_init1_ch2_cs1" comment="Bit_Field_PHY_CTRL_EXT*****PHY_CONTROL_EXT[671:662]*****" hidden="1">MAX(_wrdqs_ratio1_ch2_cs1 - ROUND((125000 / _ddr_pll_freq / _dll_res),0),0)</definedName>
    <definedName name="_wrdqs_init2_ch1_cs0" comment="Bit_Field_PHY_CTRL_EXT*****PHY_CONTROL_EXT[681:672]*****" hidden="1">MAX(_wrdqs_ratio2_ch1_cs0 - ROUND((125000 / _ddr_pll_freq / _dll_res),0),0)</definedName>
    <definedName name="_wrdqs_init2_ch1_cs1" comment="Bit_Field_PHY_CTRL_EXT*****PHY_CONTROL_EXT[691:682]*****" hidden="1">MAX(_wrdqs_ratio2_ch1_cs1 - ROUND((125000 / _ddr_pll_freq / _dll_res),0),0)</definedName>
    <definedName name="_wrdqs_init2_ch2_cs0" comment="Bit_Field_PHY_CTRL_EXT*****PHY_CONTROL_EXT[681:672]*****" hidden="1">MAX(_wrdqs_ratio2_ch2_cs0 - ROUND((125000 / _ddr_pll_freq / _dll_res),0),0)</definedName>
    <definedName name="_wrdqs_init2_ch2_cs1" comment="Bit_Field_PHY_CTRL_EXT*****PHY_CONTROL_EXT[691:682]*****" hidden="1">MAX(_wrdqs_ratio2_ch2_cs1 - ROUND((125000 / _ddr_pll_freq / _dll_res),0),0)</definedName>
    <definedName name="_wrdqs_init3_ch1_cs0" comment="Bit_Field_PHY_CTRL_EXT*****PHY_CONTROL_EXT[701:692]*****" hidden="1">MAX(_wrdqs_ratio3_ch1_cs0 - ROUND((125000 / _ddr_pll_freq / _dll_res),0),0)</definedName>
    <definedName name="_wrdqs_init3_ch1_cs1" comment="Bit_Field_PHY_CTRL_EXT*****PHY_CONTROL_EXT[711:702]*****" hidden="1">MAX(_wrdqs_ratio3_ch1_cs1 - ROUND((125000 / _ddr_pll_freq / _dll_res),0),0)</definedName>
    <definedName name="_wrdqs_init3_ch2_cs0" comment="Bit_Field_PHY_CTRL_EXT*****PHY_CONTROL_EXT[701:692]*****" hidden="1">MAX(_wrdqs_ratio3_ch2_cs0 - ROUND((125000 / _ddr_pll_freq / _dll_res),0),0)</definedName>
    <definedName name="_wrdqs_init3_ch2_cs1" comment="Bit_Field_PHY_CTRL_EXT*****PHY_CONTROL_EXT[711:702]*****" hidden="1">MAX(_wrdqs_ratio3_ch2_cs1 - ROUND((125000 / _ddr_pll_freq / _dll_res),0),0)</definedName>
    <definedName name="_wrdqs_init4_ch1_cs0" comment="Bit_Field_PHY_CTRL_EXT*****PHY_CONTROL_EXT[721:712]*****" hidden="1">MAX(_wrdqs_ratio4_ch1_cs0 - ROUND((125000 / _ddr_pll_freq / _dll_res),0),0)</definedName>
    <definedName name="_wrdqs_init4_ch1_cs1" comment="Bit_Field_PHY_CTRL_EXT*****PHY_CONTROL_EXT[731:722]*****" hidden="1">MAX(_wrdqs_ratio4_ch1_cs1 - ROUND((125000 / _ddr_pll_freq / _dll_res),0),0)</definedName>
    <definedName name="_wrdqs_init4_ch2_cs0" comment="Bit_Field_PHY_CTRL_EXT*****PHY_CONTROL_EXT[721:712]*****" hidden="1">MAX(_wrdqs_ratio4_ch2_cs0 - ROUND((125000 / _ddr_pll_freq / _dll_res),0),0)</definedName>
    <definedName name="_wrdqs_init4_ch2_cs1" comment="Bit_Field_PHY_CTRL_EXT*****PHY_CONTROL_EXT[731:722]*****" hidden="1">MAX(_wrdqs_ratio4_ch2_cs1 - ROUND((125000 / _ddr_pll_freq / _dll_res),0),0)</definedName>
    <definedName name="_wrdqs_ratio0_ch1_cs0" comment="Bit_Field_PHY_CTRL_EXT*****PHY_CONTROL_EXT[349:340]*****" hidden="1">ROUND(((_t_dqss_brdskew_p0_ch1_cs0 + (_phy_invert_clk * 500000 / _ddr_pll_freq)) / _dll_res),0)</definedName>
    <definedName name="_wrdqs_ratio0_ch1_cs1" comment="Bit_Field_PHY_CTRL_EXT*****PHY_CONTROL_EXT[359:350]*****" hidden="1">ROUND(((_t_dqss_brdskew_p0_ch1_cs1 + (_phy_invert_clk * 500000 / _ddr_pll_freq)) / _dll_res),0)</definedName>
    <definedName name="_wrdqs_ratio0_ch2_cs0" comment="Bit_Field_PHY_CTRL_EXT*****PHY_CONTROL_EXT[349:340]*****" hidden="1">ROUND(((_t_dqss_brdskew_p0_ch2_cs0 + (_phy_invert_clk * 500000 / _ddr_pll_freq)) / _dll_res),0)</definedName>
    <definedName name="_wrdqs_ratio0_ch2_cs1" comment="Bit_Field_PHY_CTRL_EXT*****PHY_CONTROL_EXT[359:350]*****" hidden="1">ROUND(((_t_dqss_brdskew_p0_ch2_cs1 + (_phy_invert_clk * 500000 / _ddr_pll_freq)) / _dll_res),0)</definedName>
    <definedName name="_wrdqs_ratio1_ch1_cs0" comment="Bit_Field_PHY_CTRL_EXT*****PHY_CONTROL_EXT[369:360]*****" hidden="1">ROUND(((_t_dqss_brdskew_p1_ch1_cs0 + (_phy_invert_clk * 500000 / _ddr_pll_freq)) / _dll_res),0)</definedName>
    <definedName name="_wrdqs_ratio1_ch1_cs1" comment="Bit_Field_PHY_CTRL_EXT*****PHY_CONTROL_EXT[379:370]*****" hidden="1">ROUND(((_t_dqss_brdskew_p1_ch1_cs1 + (_phy_invert_clk * 500000 / _ddr_pll_freq)) / _dll_res),0)</definedName>
    <definedName name="_wrdqs_ratio1_ch2_cs0" comment="Bit_Field_PHY_CTRL_EXT*****PHY_CONTROL_EXT[369:360]*****" hidden="1">ROUND(((_t_dqss_brdskew_p1_ch2_cs0 + (_phy_invert_clk * 500000 / _ddr_pll_freq)) / _dll_res),0)</definedName>
    <definedName name="_wrdqs_ratio1_ch2_cs1" comment="Bit_Field_PHY_CTRL_EXT*****PHY_CONTROL_EXT[379:370]*****" hidden="1">ROUND(((_t_dqss_brdskew_p1_ch2_cs1 + (_phy_invert_clk * 500000 / _ddr_pll_freq)) / _dll_res),0)</definedName>
    <definedName name="_wrdqs_ratio2_ch1_cs0" comment="Bit_Field_PHY_CTRL_EXT*****PHY_CONTROL_EXT[389:380]*****" hidden="1">ROUND(((_t_dqss_brdskew_p2_ch1_cs0 + (_phy_invert_clk * 500000 / _ddr_pll_freq)) / _dll_res),0)</definedName>
    <definedName name="_wrdqs_ratio2_ch1_cs1" comment="Bit_Field_PHY_CTRL_EXT*****PHY_CONTROL_EXT[399:390]*****" hidden="1">ROUND(((_t_dqss_brdskew_p2_ch1_cs1 + (_phy_invert_clk * 500000 / _ddr_pll_freq)) / _dll_res),0)</definedName>
    <definedName name="_wrdqs_ratio2_ch2_cs0" comment="Bit_Field_PHY_CTRL_EXT*****PHY_CONTROL_EXT[389:380]*****" hidden="1">ROUND(((_t_dqss_brdskew_p2_ch2_cs0 + (_phy_invert_clk * 500000 / _ddr_pll_freq)) / _dll_res),0)</definedName>
    <definedName name="_wrdqs_ratio2_ch2_cs1" comment="Bit_Field_PHY_CTRL_EXT*****PHY_CONTROL_EXT[399:390]*****" hidden="1">ROUND(((_t_dqss_brdskew_p2_ch2_cs1 + (_phy_invert_clk * 500000 / _ddr_pll_freq)) / _dll_res),0)</definedName>
    <definedName name="_wrdqs_ratio3_ch1_cs0" comment="Bit_Field_PHY_CTRL_EXT*****PHY_CONTROL_EXT[409:400]*****" hidden="1">ROUND(((_t_dqss_brdskew_p3_ch1_cs0 + (_phy_invert_clk * 500000 / _ddr_pll_freq)) / _dll_res),0)</definedName>
    <definedName name="_wrdqs_ratio3_ch1_cs1" comment="Bit_Field_PHY_CTRL_EXT*****PHY_CONTROL_EXT[419:410]*****" hidden="1">ROUND(((_t_dqss_brdskew_p3_ch1_cs1 + (_phy_invert_clk * 500000 / _ddr_pll_freq)) / _dll_res),0)</definedName>
    <definedName name="_wrdqs_ratio3_ch2_cs0" comment="Bit_Field_PHY_CTRL_EXT*****PHY_CONTROL_EXT[409:400]*****" hidden="1">ROUND(((_t_dqss_brdskew_p3_ch2_cs0 + (_phy_invert_clk * 500000 / _ddr_pll_freq)) / _dll_res),0)</definedName>
    <definedName name="_wrdqs_ratio3_ch2_cs1" comment="Bit_Field_PHY_CTRL_EXT*****PHY_CONTROL_EXT[419:410]*****" hidden="1">ROUND(((_t_dqss_brdskew_p3_ch2_cs1 + (_phy_invert_clk * 500000 / _ddr_pll_freq)) / _dll_res),0)</definedName>
    <definedName name="_wrdqs_ratio4_ch1_cs0" comment="Bit_Field_PHY_CTRL_EXT*****PHY_CONTROL_EXT[429:420]*****" hidden="1">ROUND(((_t_dqss_brdskew_p4_ch1_cs0 + (_phy_invert_clk * 500000 / _ddr_pll_freq)) / _dll_res),0)</definedName>
    <definedName name="_wrdqs_ratio4_ch1_cs1" comment="Bit_Field_PHY_CTRL_EXT*****PHY_CONTROL_EXT[439:430]*****" hidden="1">ROUND(((_t_dqss_brdskew_p4_ch1_cs1 + (_phy_invert_clk * 500000 / _ddr_pll_freq)) / _dll_res),0)</definedName>
    <definedName name="_wrdqs_ratio4_ch2_cs0" comment="Bit_Field_PHY_CTRL_EXT*****PHY_CONTROL_EXT[429:420]*****" hidden="1">ROUND(((_t_dqss_brdskew_p4_ch2_cs0 + (_phy_invert_clk * 500000 / _ddr_pll_freq)) / _dll_res),0)</definedName>
    <definedName name="_wrdqs_ratio4_ch2_cs1" comment="Bit_Field_PHY_CTRL_EXT*****PHY_CONTROL_EXT[439:430]*****" hidden="1">ROUND(((_t_dqss_brdskew_p4_ch2_cs1 + (_phy_invert_clk * 500000 / _ddr_pll_freq)) / _dll_res),0)</definedName>
    <definedName name="_zq_cs0en" comment="Bit_Field_EMIF_ZQ_CONFIG_VAL*****EMIF_SDRAM_ZQ_CONFIG[30]*****" hidden="1">1</definedName>
    <definedName name="_zq_cs1en" comment="Bit_Field_EMIF_ZQ_CONFIG_VAL*****EMIF_SDRAM_ZQ_CONFIG[31]*****" hidden="1">_sdram_ebank - 1</definedName>
    <definedName name="_zq_dualcalen" comment="Bit_Field_EMIF_ZQ_CONFIG_VAL*****EMIF_SDRAM_ZQ_CONFIG[29]*****" hidden="1">0</definedName>
    <definedName name="_zq_refinterval" comment="Bit_Field_EMIF_ZQ_CONFIG_VAL*****EMIF_SDRAM_ZQ_CONFIG[15:00]*****" hidden="1">6411</definedName>
    <definedName name="_zq_sfexiten" comment="Bit_Field_EMIF_ZQ_CONFIG_VAL*****EMIF_SDRAM_ZQ_CONFIG[28]*****" hidden="1">1</definedName>
    <definedName name="_zq_zqcl_mult" comment="Bit_Field_EMIF_ZQ_CONFIG_VAL*****EMIF_SDRAM_ZQ_CONFIG[17:16]*****" hidden="1">3</definedName>
    <definedName name="_zq_zqinit_mult" comment="Bit_Field_EMIF_ZQ_CONFIG_VAL*****EMIF_SDRAM_ZQ_CONFIG[19:18]*****" hidden="1">1</definedName>
    <definedName name="AL">'Step2-DDR Timing'!$D$77</definedName>
    <definedName name="AM65x_AC_Slew">'Step1-System Details'!$E$57</definedName>
    <definedName name="AM65x_DDR3_Driver_Values">'VREF (DDR4)'!$W$40:$W$41</definedName>
    <definedName name="AM65x_DDR3_ODT_Values">'VREF (DDR4)'!$U$40:$U$43</definedName>
    <definedName name="AM65x_DDR4_Driver_Values">'VREF (DDR4)'!$S$40:$S$41</definedName>
    <definedName name="AM65x_DDR4_ODT_values">'VREF (DDR4)'!$Q$40:$Q$47</definedName>
    <definedName name="AM65x_DQ_Slew">'Step1-System Details'!$E$58</definedName>
    <definedName name="AM65x_LPDDR4_Driver_Values">'VREF (LPDDR4)'!$S$40:$S$48</definedName>
    <definedName name="AM65x_LPDDR4_ODT_Values">'VREF (LPDDR4)'!$Q$40:$Q$47</definedName>
    <definedName name="AM65x_Ron_AC_DDR4">'VREF (DDR4)'!$U$20</definedName>
    <definedName name="AM65x_Ron_AC_LPDDR4">'VREF (LPDDR4)'!$U$20</definedName>
    <definedName name="AM65x_Ron_AC_value">'Step1-System Details'!$E$55</definedName>
    <definedName name="AM65x_Ron_DQ_DDR4">'VREF (DDR4)'!$R$20</definedName>
    <definedName name="AM65x_Ron_DQ_LPDDR4">'VREF (LPDDR4)'!$R$20</definedName>
    <definedName name="AM65x_Ron_DQ_value">'Step1-System Details'!$E$56</definedName>
    <definedName name="AM65x_Rtt_DDR4">'VREF (DDR4)'!$R$23</definedName>
    <definedName name="AM65x_Rtt_LPDDR4">'VREF (LPDDR4)'!$R$23</definedName>
    <definedName name="AM65x_Rtt_value">'Step1-System Details'!$E$54</definedName>
    <definedName name="b2_10_same">'Step3-Address Mapping'!$F$147</definedName>
    <definedName name="bank_b0">'Step3-Address Mapping'!$D$162</definedName>
    <definedName name="bank_b1">'Step3-Address Mapping'!$D$163</definedName>
    <definedName name="bank_b2">'Step3-Address Mapping'!$D$164</definedName>
    <definedName name="bg_b0">'Step3-Address Mapping'!$D$165</definedName>
    <definedName name="bg_b1">'Step3-Address Mapping'!$D$166</definedName>
    <definedName name="BL">'Step2-DDR Timing'!$F$104</definedName>
    <definedName name="caparity_disable_before_sr">Registers!$H$371</definedName>
    <definedName name="CL">'Step2-DDR Timing'!$D$24</definedName>
    <definedName name="CL_1066">'Step1-System Details'!$F$103:$F$105</definedName>
    <definedName name="CL_1333">'Step1-System Details'!$G$103:$G$106</definedName>
    <definedName name="CL_1600">'Step1-System Details'!$H$103:$H$106</definedName>
    <definedName name="CL_1866">'Step1-System Details'!$I$103:$I$106</definedName>
    <definedName name="CL_2133">'Step1-System Details'!$J$103:$J$106</definedName>
    <definedName name="CL_800">'Step1-System Details'!$E$103:$E$104</definedName>
    <definedName name="CLK_PERIOD" localSheetId="5">#REF!</definedName>
    <definedName name="col_b10">'Step3-Address Mapping'!$D$142</definedName>
    <definedName name="col_b11">'Step3-Address Mapping'!$D$143</definedName>
    <definedName name="col_b2">'Step3-Address Mapping'!$D$134</definedName>
    <definedName name="col_b3">'Step3-Address Mapping'!$D$135</definedName>
    <definedName name="col_b4">'Step3-Address Mapping'!$D$136</definedName>
    <definedName name="col_b5">'Step3-Address Mapping'!$D$137</definedName>
    <definedName name="col_b6">'Step3-Address Mapping'!$D$138</definedName>
    <definedName name="col_b7">'Step3-Address Mapping'!$D$139</definedName>
    <definedName name="col_b8">'Step3-Address Mapping'!$D$140</definedName>
    <definedName name="col_b9">'Step3-Address Mapping'!$D$141</definedName>
    <definedName name="Config_AddressMap">'Step3-Address Mapping'!$C$12:$AF$13</definedName>
    <definedName name="Config_DDRControllerIO">'Step1-System Details'!$K$54:$L$58</definedName>
    <definedName name="Config_DDRMemoryIO">'Step1-System Details'!$K$34:$L$36</definedName>
    <definedName name="Config_DDRMemorySpecs">'Step1-System Details'!$K$25:$L$29</definedName>
    <definedName name="Config_DDRTiming">'Step2-DDR Timing'!$K$24:$M$104</definedName>
    <definedName name="Config_SystemAppDetails">'Step1-System Details'!$K$14:$L$19</definedName>
    <definedName name="cs_bit0">'Step3-Address Mapping'!$D$167</definedName>
    <definedName name="cs_bit1">'Step3-Address Mapping'!$D$168</definedName>
    <definedName name="CWL">'Step2-DDR Timing'!$D$25</definedName>
    <definedName name="Data_Rate">'Step1-System Details'!$E$25</definedName>
    <definedName name="DDR_Density">'Step1-System Details'!$E$26</definedName>
    <definedName name="DDR_device_width">'Step1-System Details'!$E$16</definedName>
    <definedName name="DDR_DynRtt_value">'Step1-System Details'!$E$35</definedName>
    <definedName name="DDR_Memory_Frequency">'Step1-System Details'!$E$15</definedName>
    <definedName name="DDR_ODI_value">'Step1-System Details'!$E$36</definedName>
    <definedName name="DDR_ODT_value">'Step1-System Details'!$E$34</definedName>
    <definedName name="DDR_Rank">'Step1-System Details'!$E$19</definedName>
    <definedName name="DDR_Type">'Step1-System Details'!$B$78:$B$80</definedName>
    <definedName name="DDR_Width">'Step1-System Details'!$E$17</definedName>
    <definedName name="DDR3_1600_CL">'Step2-DDR Timing'!$E$275:$E$276</definedName>
    <definedName name="DDR3_1866_CL">'Step2-DDR Timing'!$E$280:$E$281</definedName>
    <definedName name="DDR3_2133_CL">'Step2-DDR Timing'!$E$281</definedName>
    <definedName name="DDR3_Addr">'Step1-System Details'!$D$103</definedName>
    <definedName name="DDR3_CL">'Step2-DDR Timing'!$E$275:$E$276</definedName>
    <definedName name="DDR3_CL_Max">'Step2-DDR Timing'!$D$275</definedName>
    <definedName name="DDR3_CL_Min">'Step2-DDR Timing'!$C$275</definedName>
    <definedName name="DDR3_CS">'Step1-System Details'!$D$91</definedName>
    <definedName name="DDR3_CWL">'Step2-DDR Timing'!$I$276</definedName>
    <definedName name="DDR3_Data">'Step1-System Details'!$D$110</definedName>
    <definedName name="DDR3_DQS">'Step1-System Details'!$C$91</definedName>
    <definedName name="DDR3_Driver_Values">'VREF (DDR4)'!$AE$40:$AE$41</definedName>
    <definedName name="DDR3_DYN_ODT">'Step1-System Details'!$G$78:$G$80</definedName>
    <definedName name="DDR3_freq">'Step1-System Details'!$C$76:$C$81</definedName>
    <definedName name="DDR3_HIF10">'Step3-Address Mapping'!$X$68:$X$86</definedName>
    <definedName name="DDR3_HIF11">'Step3-Address Mapping'!$W$68:$W$86</definedName>
    <definedName name="DDR3_HIF12">'Step3-Address Mapping'!$V$68:$V$86</definedName>
    <definedName name="DDR3_HIF13">'Step3-Address Mapping'!$U$68:$U$86</definedName>
    <definedName name="DDR3_HIF14">'Step3-Address Mapping'!$T$68:$T$86</definedName>
    <definedName name="DDR3_HIF15">'Step3-Address Mapping'!$S$68:$S$86</definedName>
    <definedName name="DDR3_HIF16">'Step3-Address Mapping'!$R$68:$R$86</definedName>
    <definedName name="DDR3_HIF17">'Step3-Address Mapping'!$Q$68:$Q$86</definedName>
    <definedName name="DDR3_HIF18">'Step3-Address Mapping'!$P$68:$P$86</definedName>
    <definedName name="DDR3_HIF19">'Step3-Address Mapping'!$O$68:$O$86</definedName>
    <definedName name="DDR3_HIF2">'Step3-Address Mapping'!$AF$68:$AF$86</definedName>
    <definedName name="DDR3_HIF20">'Step3-Address Mapping'!$N$68:$N$86</definedName>
    <definedName name="DDR3_HIF21">'Step3-Address Mapping'!$M$68:$M$86</definedName>
    <definedName name="DDR3_HIF22">'Step3-Address Mapping'!$L$68:$L$86</definedName>
    <definedName name="DDR3_HIF23">'Step3-Address Mapping'!$K$68:$K$86</definedName>
    <definedName name="DDR3_HIF24">'Step3-Address Mapping'!$J$68:$J$86</definedName>
    <definedName name="DDR3_HIF25">'Step3-Address Mapping'!$I$68:$I$86</definedName>
    <definedName name="DDR3_HIF26">'Step3-Address Mapping'!$H$68:$H$86</definedName>
    <definedName name="DDR3_HIF27">'Step3-Address Mapping'!$G$68:$G$86</definedName>
    <definedName name="DDR3_HIF28">'Step3-Address Mapping'!$F$68:$F$86</definedName>
    <definedName name="DDR3_HIF29">'Step3-Address Mapping'!$E$68:$E$86</definedName>
    <definedName name="DDR3_HIF3">'Step3-Address Mapping'!$AE$68:$AE$86</definedName>
    <definedName name="DDR3_HIF30">'Step3-Address Mapping'!$D$68:$D$76</definedName>
    <definedName name="DDR3_HIF31">'Step3-Address Mapping'!$C$68:$C$75</definedName>
    <definedName name="DDR3_HIF4">'Step3-Address Mapping'!$AD$68:$AD$86</definedName>
    <definedName name="DDR3_HIF5">'Step3-Address Mapping'!$AC$68:$AC$86</definedName>
    <definedName name="DDR3_HIF6">'Step3-Address Mapping'!$AB$68:$AB$86</definedName>
    <definedName name="DDR3_HIF7">'Step3-Address Mapping'!$AA$68:$AA$86</definedName>
    <definedName name="DDR3_HIF8">'Step3-Address Mapping'!$Z$68:$Z$86</definedName>
    <definedName name="DDR3_HIF9">'Step3-Address Mapping'!$Y$68:$Y$86</definedName>
    <definedName name="DDR3_Max">'Step1-System Details'!$D$85</definedName>
    <definedName name="DDR3_Min">'Step1-System Details'!$C$85</definedName>
    <definedName name="DDR3_NVM_RDB">'Step1-System Details'!$E$91</definedName>
    <definedName name="DDR3_NVM_RDB_Size">'Step1-System Details'!$F$91</definedName>
    <definedName name="DDR3_ODT_Values">'VREF (DDR4)'!$AE$44:$AE$49</definedName>
    <definedName name="DDR3_Refresh">'Step1-System Details'!$D$97</definedName>
    <definedName name="DDR3_Width">'Step1-System Details'!$E$78:$E$79</definedName>
    <definedName name="DDR3_ZQ_Tsens_Max">'Step1-System Details'!$P$84</definedName>
    <definedName name="DDR3_ZQ_Tsens_Min">'Step1-System Details'!$O$84</definedName>
    <definedName name="DDR3_ZQ_Vsens_Max">'Step1-System Details'!$P$89</definedName>
    <definedName name="DDR3_ZQ_Vsens_Min">'Step1-System Details'!$O$89</definedName>
    <definedName name="DDR4_1600">'Step2-DDR Timing'!$E$279:$E$282</definedName>
    <definedName name="DDR4_CWL">'Step2-DDR Timing'!$I$280:$I$282</definedName>
    <definedName name="DDR4_Driver_Values">'VREF (DDR4)'!$Z$40:$Z$41</definedName>
    <definedName name="DDR4_freq">'Step1-System Details'!$A$84:$A$90</definedName>
    <definedName name="DDR4_HIF10">'Step3-Address Mapping'!$X$23:$X$42</definedName>
    <definedName name="DDR4_HIF11">'Step3-Address Mapping'!$W$23:$W$42</definedName>
    <definedName name="DDR4_HIF12">'Step3-Address Mapping'!$V$23:$V$42</definedName>
    <definedName name="DDR4_HIF13">'Step3-Address Mapping'!$U$23:$U$42</definedName>
    <definedName name="DDR4_HIF14">'Step3-Address Mapping'!$T$23:$T$42</definedName>
    <definedName name="DDR4_HIF15">'Step3-Address Mapping'!$S$23:$S$42</definedName>
    <definedName name="DDR4_HIF16">'Step3-Address Mapping'!$R$23:$R$42</definedName>
    <definedName name="DDR4_HIF17">'Step3-Address Mapping'!$Q$23:$Q$42</definedName>
    <definedName name="DDR4_HIF18">'Step3-Address Mapping'!$P$23:$P$43</definedName>
    <definedName name="DDR4_HIF19">'Step3-Address Mapping'!$O$23:$O$43</definedName>
    <definedName name="DDR4_HIF2">'Step3-Address Mapping'!$AF$23:$AF$26</definedName>
    <definedName name="DDR4_HIF20">'Step3-Address Mapping'!$N$23:$N$43</definedName>
    <definedName name="DDR4_HIF21">'Step3-Address Mapping'!$M$23:$M$43</definedName>
    <definedName name="DDR4_HIF22">'Step3-Address Mapping'!$L$23:$L$43</definedName>
    <definedName name="DDR4_HIF23">'Step3-Address Mapping'!$K$23:$K$43</definedName>
    <definedName name="DDR4_HIF24">'Step3-Address Mapping'!$J$23:$J$43</definedName>
    <definedName name="DDR4_HIF25">'Step3-Address Mapping'!$I$23:$I$43</definedName>
    <definedName name="DDR4_HIF26">'Step3-Address Mapping'!$H$23:$H$43</definedName>
    <definedName name="DDR4_HIF27">'Step3-Address Mapping'!$G$23:$G$43</definedName>
    <definedName name="DDR4_HIF28">'Step3-Address Mapping'!$F$23:$F$43</definedName>
    <definedName name="DDR4_HIF29">'Step3-Address Mapping'!$E$23:$E$43</definedName>
    <definedName name="DDR4_HIF3">'Step3-Address Mapping'!$AE$23:$AE$43</definedName>
    <definedName name="DDR4_HIF30">'Step3-Address Mapping'!$D$23:$D$43</definedName>
    <definedName name="DDR4_HIF31">'Step3-Address Mapping'!$C$23:$C$43</definedName>
    <definedName name="DDR4_HIF4">'Step3-Address Mapping'!$AD$23:$AD$43</definedName>
    <definedName name="DDR4_HIF5">'Step3-Address Mapping'!$AC$23:$AC$43</definedName>
    <definedName name="DDR4_HIF6">'Step3-Address Mapping'!$AB$23:$AB$43</definedName>
    <definedName name="DDR4_HIF7">'Step3-Address Mapping'!$AA$23:$AA$43</definedName>
    <definedName name="DDR4_HIF8">'Step3-Address Mapping'!$Z$23:$Z$43</definedName>
    <definedName name="DDR4_HIF9">'Step3-Address Mapping'!$Y$23:$Y$43</definedName>
    <definedName name="DDR4_Max">'Step1-System Details'!$D$86</definedName>
    <definedName name="DDR4_Min">'Step1-System Details'!$C$86</definedName>
    <definedName name="DDR4_ODT_Values">'VREF (DDR4)'!$Z$44:$Z$51</definedName>
    <definedName name="DDR4_Width">'Step1-System Details'!$E$78:$E$79</definedName>
    <definedName name="DLLK">'Step2-DDR Timing'!$D$52</definedName>
    <definedName name="DRAM_Ron_register" localSheetId="5">'VREF (LPDDR4)'!$R$28</definedName>
    <definedName name="DRAM_Ron_register">'VREF (DDR4)'!$R$28</definedName>
    <definedName name="DRAM_Ron_value">'Step1-System Details'!$F$36</definedName>
    <definedName name="DRAM_Rtt_register" localSheetId="5">'VREF (LPDDR4)'!$R$31</definedName>
    <definedName name="DRAM_Rtt_register">'VREF (DDR4)'!$R$31</definedName>
    <definedName name="DRAM_Rtt_value">'Step1-System Details'!$F$34</definedName>
    <definedName name="ECC_Enable">'Step1-System Details'!$E$18</definedName>
    <definedName name="ENABLE_ECC">GEL!$O$280</definedName>
    <definedName name="GCRx_DXREFSSEL_DDR4">'VREF (DDR4)'!$L$24</definedName>
    <definedName name="GCRx_DXREFSSEL_LPDDR4">'VREF (LPDDR4)'!$L$24</definedName>
    <definedName name="GCRx_DXREFSSELRANGE_DDR4">'VREF (DDR4)'!$L$23</definedName>
    <definedName name="GCRx_DXREFSSELRANGE_LPDDR4">'VREF (LPDDR4)'!$L$23</definedName>
    <definedName name="HALF_BUS_WIDTH">GEL!$O$279</definedName>
    <definedName name="Load_AddressMapping">'Step3-Address Mapping'!$C$13:$AF$13</definedName>
    <definedName name="Load_DDRTiming">'Step2-DDR Timing'!$D$24:$E$104</definedName>
    <definedName name="LPDDR4_Driver_Values">'VREF (LPDDR4)'!$AA$40:$AA$47</definedName>
    <definedName name="LPDDR4_freq">'Step1-System Details'!$B$84:$B$88</definedName>
    <definedName name="LPDDR4_HIF10">'Step3-Address Mapping'!$X$47:$X$65</definedName>
    <definedName name="LPDDR4_HIF11">'Step3-Address Mapping'!$W$47:$W$65</definedName>
    <definedName name="LPDDR4_HIF12">'Step3-Address Mapping'!$V$47:$V$65</definedName>
    <definedName name="LPDDR4_HIF13">'Step3-Address Mapping'!$U$47:$U$65</definedName>
    <definedName name="LPDDR4_HIF14">'Step3-Address Mapping'!$T$47:$T$65</definedName>
    <definedName name="LPDDR4_HIF15">'Step3-Address Mapping'!$S$47:$S$65</definedName>
    <definedName name="LPDDR4_HIF16">'Step3-Address Mapping'!$R$47:$R$65</definedName>
    <definedName name="LPDDR4_HIF17">'Step3-Address Mapping'!$Q$47:$Q$65</definedName>
    <definedName name="LPDDR4_HIF18">'Step3-Address Mapping'!$P$47:$P$65</definedName>
    <definedName name="LPDDR4_HIF19">'Step3-Address Mapping'!$O$47:$O$65</definedName>
    <definedName name="LPDDR4_HIF2">'Step3-Address Mapping'!$AF$47:$AF$65</definedName>
    <definedName name="LPDDR4_HIF20">'Step3-Address Mapping'!$N$47:$N$65</definedName>
    <definedName name="LPDDR4_HIF21">'Step3-Address Mapping'!$M$47:$M$65</definedName>
    <definedName name="LPDDR4_HIF22">'Step3-Address Mapping'!$L$47:$L$65</definedName>
    <definedName name="LPDDR4_HIF23">'Step3-Address Mapping'!$K$47:$K$65</definedName>
    <definedName name="LPDDR4_HIF24">'Step3-Address Mapping'!$J$47:$J$65</definedName>
    <definedName name="LPDDR4_HIF25">'Step3-Address Mapping'!$I$47:$I$65</definedName>
    <definedName name="LPDDR4_HIF26">'Step3-Address Mapping'!$H$47:$H$65</definedName>
    <definedName name="LPDDR4_HIF27">'Step3-Address Mapping'!$G$47:$G$65</definedName>
    <definedName name="LPDDR4_HIF28">'Step3-Address Mapping'!$F$47:$F$65</definedName>
    <definedName name="LPDDR4_HIF29">'Step3-Address Mapping'!$E$47:$E$65</definedName>
    <definedName name="LPDDR4_HIF3">'Step3-Address Mapping'!$AE$47:$AE$65</definedName>
    <definedName name="LPDDR4_HIF30">'Step3-Address Mapping'!$D$47:$D$65</definedName>
    <definedName name="LPDDR4_HIF31">'Step3-Address Mapping'!$C$47:$C$65</definedName>
    <definedName name="LPDDR4_HIF4">'Step3-Address Mapping'!$AD$47:$AD$65</definedName>
    <definedName name="LPDDR4_HIF5">'Step3-Address Mapping'!$AC$47:$AC$65</definedName>
    <definedName name="LPDDR4_HIF6">'Step3-Address Mapping'!$AB$47:$AB$65</definedName>
    <definedName name="LPDDR4_HIF7">'Step3-Address Mapping'!$AA$47:$AA$65</definedName>
    <definedName name="LPDDR4_HIF8">'Step3-Address Mapping'!$Z$47:$Z$65</definedName>
    <definedName name="LPDDR4_HIF9">'Step3-Address Mapping'!$Y$47:$Y$65</definedName>
    <definedName name="LPDDR4_ODT_Values">'VREF (LPDDR4)'!$AA$50:$AA$57</definedName>
    <definedName name="LPDDR4_Width">'Step1-System Details'!$E$79:$E$80</definedName>
    <definedName name="macroSwitch_end_GEL">GEL!$I$279</definedName>
    <definedName name="macroSwitch_end_SystemDetails">'Step1-System Details'!$L$61</definedName>
    <definedName name="macroSwitch_end_uboot" localSheetId="9">RTOS!$G$196</definedName>
    <definedName name="macroSwitch_end_uboot">'u-boot'!$G$167</definedName>
    <definedName name="macroSwitch_OutputTextBelow_GEL">GEL!$I$5</definedName>
    <definedName name="macroSwitch_OutputTextBelow_uboot" localSheetId="9">RTOS!$G$4</definedName>
    <definedName name="macroSwitch_OutputTextBelow_uboot">'u-boot'!$G$4</definedName>
    <definedName name="macroSwitch_start_SystemDetails">'Step1-System Details'!$L$13</definedName>
    <definedName name="Memory_Type">'Step1-System Details'!$E$14</definedName>
    <definedName name="MR14_5_0">'VREF (LPDDR4)'!$L$33</definedName>
    <definedName name="MR14_6">'VREF (LPDDR4)'!$L$32</definedName>
    <definedName name="MR6_5_0" localSheetId="5">'VREF (LPDDR4)'!$L$33</definedName>
    <definedName name="MR6_5_0">'VREF (DDR4)'!$L$33</definedName>
    <definedName name="MR6_6" localSheetId="5">'VREF (LPDDR4)'!$L$32</definedName>
    <definedName name="MR6_6">'VREF (DDR4)'!$L$32</definedName>
    <definedName name="NA">'Step1-System Details'!$L$103</definedName>
    <definedName name="Number_of_Columns">'Step1-System Details'!$E$28</definedName>
    <definedName name="Number_of_Rows">'Step1-System Details'!$E$27</definedName>
    <definedName name="ODTLon">'Step2-DDR Timing'!$F$97</definedName>
    <definedName name="PL">'Step2-DDR Timing'!$D$76</definedName>
    <definedName name="Refresh_Mode">Registers!$G$774</definedName>
    <definedName name="RFSHDT">Registers!$C$971</definedName>
    <definedName name="RL">'Step2-DDR Timing'!$D$24</definedName>
    <definedName name="row_b0">'Step3-Address Mapping'!$D$144</definedName>
    <definedName name="row_b1">'Step3-Address Mapping'!$D$145</definedName>
    <definedName name="row_b10">'Step3-Address Mapping'!$D$154</definedName>
    <definedName name="row_b11">'Step3-Address Mapping'!$D$155</definedName>
    <definedName name="row_b12">'Step3-Address Mapping'!$D$156</definedName>
    <definedName name="row_b13">'Step3-Address Mapping'!$D$157</definedName>
    <definedName name="row_b14">'Step3-Address Mapping'!$D$158</definedName>
    <definedName name="row_b15">'Step3-Address Mapping'!$D$159</definedName>
    <definedName name="row_b16">'Step3-Address Mapping'!$D$160</definedName>
    <definedName name="row_b17">'Step3-Address Mapping'!$D$161</definedName>
    <definedName name="row_b2">'Step3-Address Mapping'!$D$146</definedName>
    <definedName name="row_b3">'Step3-Address Mapping'!$D$147</definedName>
    <definedName name="row_b4">'Step3-Address Mapping'!$D$148</definedName>
    <definedName name="row_b5">'Step3-Address Mapping'!$D$149</definedName>
    <definedName name="row_b6">'Step3-Address Mapping'!$D$150</definedName>
    <definedName name="row_b7">'Step3-Address Mapping'!$D$151</definedName>
    <definedName name="row_b8">'Step3-Address Mapping'!$D$152</definedName>
    <definedName name="row_b9">'Step3-Address Mapping'!$D$153</definedName>
    <definedName name="RTOS_output" localSheetId="9">RTOS!$G$5:$G$196</definedName>
    <definedName name="Speed_Bin_CL" localSheetId="5">'Step1-System Details'!#REF!</definedName>
    <definedName name="Speed_Bin_CL_DDR3" localSheetId="5">'Step1-System Details'!#REF!</definedName>
    <definedName name="tAOND_tODTon">'Step2-DDR Timing'!$F$53</definedName>
    <definedName name="tCAL">'Step2-DDR Timing'!$F$62</definedName>
    <definedName name="tCCD_L">'Step2-DDR Timing'!$F$56</definedName>
    <definedName name="tCCD_S">'Step2-DDR Timing'!$F$65</definedName>
    <definedName name="tCCDMW">'Step2-DDR Timing'!$F$99</definedName>
    <definedName name="tCK">'Step2-DDR Timing'!$A$246</definedName>
    <definedName name="tCKCKEH">'Step2-DDR Timing'!$F$93</definedName>
    <definedName name="tCKE">'Step2-DDR Timing'!$F$41</definedName>
    <definedName name="tCKELCK">'Step2-DDR Timing'!$F$94</definedName>
    <definedName name="tCKELPD">'Step2-DDR Timing'!$F$89</definedName>
    <definedName name="tCKESR">'Step2-DDR Timing'!$F$42</definedName>
    <definedName name="tCKMPE">'Step2-DDR Timing'!$F$74</definedName>
    <definedName name="tCKSRE">'Step2-DDR Timing'!$F$59</definedName>
    <definedName name="tCKSRX">'Step2-DDR Timing'!$F$58</definedName>
    <definedName name="tCMDCKE">'Step2-DDR Timing'!$F$87</definedName>
    <definedName name="tCPDED">'Step2-DDR Timing'!$F$57</definedName>
    <definedName name="tCRC_ALERT_PW">'Step2-DDR Timing'!$F$79</definedName>
    <definedName name="tDLLK">'Step2-DDR Timing'!$F$52</definedName>
    <definedName name="tDQSCKmax">'Step2-DDR Timing'!$F$82</definedName>
    <definedName name="tDQSCKmin">'Step2-DDR Timing'!$F$81</definedName>
    <definedName name="Tdrift_rate">'Step1-System Details'!$E$46</definedName>
    <definedName name="tESCKE">'Step2-DDR Timing'!$F$96</definedName>
    <definedName name="tFAW">'Step2-DDR Timing'!$F$33</definedName>
    <definedName name="tMOD">'Step2-DDR Timing'!$F$50</definedName>
    <definedName name="tMPX_LH">'Step2-DDR Timing'!$F$68</definedName>
    <definedName name="tMPX_S">'Step2-DDR Timing'!$F$69</definedName>
    <definedName name="tMRD">'Step2-DDR Timing'!$F$49</definedName>
    <definedName name="tMRD_PDA">'Step2-DDR Timing'!$F$75</definedName>
    <definedName name="tMRW">'Step2-DDR Timing'!$F$92</definedName>
    <definedName name="tMRWCKEL">'Step2-DDR Timing'!$F$91</definedName>
    <definedName name="tODT" localSheetId="5">'Step2-DDR Timing'!#REF!</definedName>
    <definedName name="tODTLoff">'Step2-DDR Timing'!$F$98</definedName>
    <definedName name="tODTon_min">'Step2-DDR Timing'!$F$103</definedName>
    <definedName name="tODTUP">'Step2-DDR Timing'!$F$88</definedName>
    <definedName name="Total_number_of_banks">'Step1-System Details'!$E$29</definedName>
    <definedName name="tPAR_ALERT_PW">'Step2-DDR Timing'!$F$78</definedName>
    <definedName name="tPPD">'Step2-DDR Timing'!$F$100</definedName>
    <definedName name="tPW_RESET_L">'Step2-DDR Timing'!$F$80</definedName>
    <definedName name="tRAS">'Step2-DDR Timing'!$F$31</definedName>
    <definedName name="tRASmax">'Step2-DDR Timing'!$F$47</definedName>
    <definedName name="tRC">'Step2-DDR Timing'!$F$32</definedName>
    <definedName name="tRCD">'Step2-DDR Timing'!$F$29</definedName>
    <definedName name="TREFI">'Step2-DDR Timing'!$F$48</definedName>
    <definedName name="tRFC">'Step2-DDR Timing'!$F$46</definedName>
    <definedName name="tRFC4">'Step2-DDR Timing'!$F$61</definedName>
    <definedName name="tRP">'Step2-DDR Timing'!$F$28</definedName>
    <definedName name="tRPRE">'Step2-DDR Timing'!$F$64</definedName>
    <definedName name="tRPST">'Step2-DDR Timing'!$F$90</definedName>
    <definedName name="tRRD_L">'Step2-DDR Timing'!$F$34</definedName>
    <definedName name="tRRD_S">'Step2-DDR Timing'!$F$66</definedName>
    <definedName name="tRTP">'Step2-DDR Timing'!$F$40</definedName>
    <definedName name="Tsense">'Step1-System Details'!$E$44</definedName>
    <definedName name="tSR">'Step2-DDR Timing'!$F$95</definedName>
    <definedName name="tVRCG_DISABLE">'Step2-DDR Timing'!$F$86</definedName>
    <definedName name="tVRCG_ENABLE">'Step2-DDR Timing'!$F$85</definedName>
    <definedName name="tWLMRD">'Step2-DDR Timing'!$F$51</definedName>
    <definedName name="tWLO">'Step2-DDR Timing'!$F$55</definedName>
    <definedName name="tWLWPRE">'Step2-DDR Timing'!$F$83</definedName>
    <definedName name="tWPRE">'Step2-DDR Timing'!$F$63</definedName>
    <definedName name="tWR">'Step2-DDR Timing'!$F$30</definedName>
    <definedName name="tWTR_L">'Step2-DDR Timing'!$F$35</definedName>
    <definedName name="tWTR_S">'Step2-DDR Timing'!$F$67</definedName>
    <definedName name="tXMP">'Step2-DDR Timing'!$F$72</definedName>
    <definedName name="tXMPDLL">'Step2-DDR Timing'!$F$73</definedName>
    <definedName name="tXP">'Step2-DDR Timing'!$F$36</definedName>
    <definedName name="tXPDLL">'Step2-DDR Timing'!$F$37</definedName>
    <definedName name="tXPR">'Step2-DDR Timing'!$F$54</definedName>
    <definedName name="tXS">'Step2-DDR Timing'!$F$38</definedName>
    <definedName name="tXS_ABORT">'Step2-DDR Timing'!$F$71</definedName>
    <definedName name="tXS_FAST">'Step2-DDR Timing'!$F$70</definedName>
    <definedName name="tXSDLL">'Step2-DDR Timing'!$F$39</definedName>
    <definedName name="tXSR">'Step2-DDR Timing'!$F$38</definedName>
    <definedName name="tZQCAL">'Step2-DDR Timing'!$F$101</definedName>
    <definedName name="tZQCS">'Step2-DDR Timing'!$F$43</definedName>
    <definedName name="tZQINIT">'Step2-DDR Timing'!$F$45</definedName>
    <definedName name="tZQLAT">'Step2-DDR Timing'!$F$84</definedName>
    <definedName name="tZQoper">'Step2-DDR Timing'!$F$44</definedName>
    <definedName name="tZQReset">'Step2-DDR Timing'!$F$102</definedName>
    <definedName name="uboot_dtsi_output">'u-boot'!$G$5:$G$167</definedName>
    <definedName name="Vdrift_rate">'Step1-System Details'!$E$47</definedName>
    <definedName name="Vsense">'Step1-System Details'!$E$45</definedName>
    <definedName name="WL">'Step2-DDR Timing'!$D$25</definedName>
  </definedNames>
  <calcPr calcId="191029"/>
  <pivotCaches>
    <pivotCache cacheId="1" r:id="rId13"/>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4" i="25" l="1"/>
  <c r="I45" i="25"/>
  <c r="I7" i="25"/>
  <c r="I8" i="25"/>
  <c r="I9" i="25"/>
  <c r="I10" i="25"/>
  <c r="I11" i="25"/>
  <c r="I12" i="25"/>
  <c r="I13" i="25"/>
  <c r="I14" i="25"/>
  <c r="I15" i="25"/>
  <c r="I16" i="25"/>
  <c r="I17" i="25"/>
  <c r="I18" i="25"/>
  <c r="I19" i="25"/>
  <c r="I20" i="25"/>
  <c r="I21" i="25"/>
  <c r="I22" i="25"/>
  <c r="I23" i="25"/>
  <c r="I24" i="25"/>
  <c r="I25" i="25"/>
  <c r="I26" i="25"/>
  <c r="I27" i="25"/>
  <c r="I28" i="25"/>
  <c r="I29" i="25"/>
  <c r="I30" i="25"/>
  <c r="I31" i="25"/>
  <c r="I32" i="25"/>
  <c r="I33" i="25"/>
  <c r="I34" i="25"/>
  <c r="I6" i="25"/>
  <c r="C35" i="25"/>
  <c r="D37" i="31"/>
  <c r="G37" i="31" s="1"/>
  <c r="G36" i="31"/>
  <c r="G7" i="31"/>
  <c r="G8" i="31"/>
  <c r="G9" i="31"/>
  <c r="G10" i="31"/>
  <c r="G11" i="31"/>
  <c r="G12" i="31"/>
  <c r="G13" i="31"/>
  <c r="G14" i="31"/>
  <c r="G15" i="31"/>
  <c r="G16" i="31"/>
  <c r="G17" i="31"/>
  <c r="G18" i="31"/>
  <c r="G19" i="31"/>
  <c r="G20" i="31"/>
  <c r="G21" i="31"/>
  <c r="G22" i="31"/>
  <c r="G23" i="31"/>
  <c r="G24" i="31"/>
  <c r="G25" i="31"/>
  <c r="G26" i="31"/>
  <c r="G27" i="31"/>
  <c r="G28" i="31"/>
  <c r="G29" i="31"/>
  <c r="G30" i="31"/>
  <c r="G31" i="31"/>
  <c r="G32" i="31"/>
  <c r="G33" i="31"/>
  <c r="G34" i="31"/>
  <c r="G35" i="31"/>
  <c r="G6" i="31"/>
  <c r="E195" i="31"/>
  <c r="E194" i="31"/>
  <c r="E193" i="31"/>
  <c r="E192" i="31"/>
  <c r="E191" i="31"/>
  <c r="E190" i="31"/>
  <c r="E189" i="31"/>
  <c r="E188" i="31"/>
  <c r="E187" i="31"/>
  <c r="F186" i="31"/>
  <c r="E186" i="31"/>
  <c r="F185" i="31"/>
  <c r="E185" i="31"/>
  <c r="F184" i="31"/>
  <c r="E184" i="31"/>
  <c r="F183" i="31"/>
  <c r="E183" i="31"/>
  <c r="F182" i="31"/>
  <c r="E182" i="31"/>
  <c r="F181" i="31"/>
  <c r="E181" i="31"/>
  <c r="E180" i="31"/>
  <c r="E179" i="31"/>
  <c r="E178" i="31"/>
  <c r="E177" i="31"/>
  <c r="E176" i="31"/>
  <c r="E175" i="31"/>
  <c r="E174" i="31"/>
  <c r="E173" i="31"/>
  <c r="E172" i="31"/>
  <c r="E171" i="31"/>
  <c r="E170" i="31"/>
  <c r="E169" i="31"/>
  <c r="E168" i="31"/>
  <c r="E167" i="31"/>
  <c r="E166" i="31"/>
  <c r="E165" i="31"/>
  <c r="E164" i="31"/>
  <c r="E163" i="31"/>
  <c r="E162" i="31"/>
  <c r="E161" i="31"/>
  <c r="E160" i="31"/>
  <c r="E159" i="31"/>
  <c r="E158" i="31"/>
  <c r="F157" i="31"/>
  <c r="E157" i="31"/>
  <c r="F156" i="31"/>
  <c r="E156" i="31"/>
  <c r="F155" i="31"/>
  <c r="E155" i="31"/>
  <c r="F154" i="31"/>
  <c r="E154" i="31"/>
  <c r="F153" i="31"/>
  <c r="E153" i="31"/>
  <c r="F152" i="31"/>
  <c r="E152" i="31"/>
  <c r="G152" i="31" s="1"/>
  <c r="F151" i="31"/>
  <c r="E151" i="31"/>
  <c r="F150" i="31"/>
  <c r="E150" i="31"/>
  <c r="E149" i="31"/>
  <c r="E148" i="31"/>
  <c r="E147" i="31"/>
  <c r="E146" i="31"/>
  <c r="E145" i="31"/>
  <c r="F144" i="31"/>
  <c r="E144" i="31"/>
  <c r="F143" i="31"/>
  <c r="E143" i="31"/>
  <c r="F142" i="31"/>
  <c r="E142" i="31"/>
  <c r="F141" i="31"/>
  <c r="E141" i="31"/>
  <c r="E140" i="31"/>
  <c r="E139" i="31"/>
  <c r="E138" i="31"/>
  <c r="E137" i="31"/>
  <c r="E136" i="31"/>
  <c r="E135" i="31"/>
  <c r="E134" i="31"/>
  <c r="E133" i="31"/>
  <c r="E132" i="31"/>
  <c r="E131" i="31"/>
  <c r="E130" i="31"/>
  <c r="E129" i="31"/>
  <c r="E128" i="31"/>
  <c r="E127" i="31"/>
  <c r="E126" i="31"/>
  <c r="E125" i="31"/>
  <c r="F116" i="31"/>
  <c r="E116" i="31"/>
  <c r="F114" i="31"/>
  <c r="E114" i="31"/>
  <c r="F108" i="31"/>
  <c r="E108" i="31"/>
  <c r="F107" i="31"/>
  <c r="E107" i="31"/>
  <c r="F105" i="31"/>
  <c r="E105" i="31"/>
  <c r="E103" i="31"/>
  <c r="F101" i="31"/>
  <c r="E101" i="31"/>
  <c r="F100" i="31"/>
  <c r="E100" i="31"/>
  <c r="F99" i="31"/>
  <c r="E99" i="31"/>
  <c r="F98" i="31"/>
  <c r="E98" i="31"/>
  <c r="F97" i="31"/>
  <c r="E97" i="31"/>
  <c r="F96" i="31"/>
  <c r="E96" i="31"/>
  <c r="E95" i="31"/>
  <c r="E94" i="31"/>
  <c r="E93" i="31"/>
  <c r="E92" i="31"/>
  <c r="E91" i="31"/>
  <c r="E90" i="31"/>
  <c r="E89" i="31"/>
  <c r="E88" i="31"/>
  <c r="E87" i="31"/>
  <c r="E86" i="31"/>
  <c r="E85" i="31"/>
  <c r="E84" i="31"/>
  <c r="E83" i="31"/>
  <c r="F75" i="31"/>
  <c r="E75" i="31"/>
  <c r="F71" i="31"/>
  <c r="E71" i="31"/>
  <c r="F51" i="31"/>
  <c r="E51" i="31"/>
  <c r="E46" i="31"/>
  <c r="F45" i="31"/>
  <c r="G45" i="31" s="1"/>
  <c r="G44" i="31"/>
  <c r="E43" i="31"/>
  <c r="G43" i="31" s="1"/>
  <c r="E42" i="31"/>
  <c r="G42" i="31" s="1"/>
  <c r="E41" i="31"/>
  <c r="G41" i="31" s="1"/>
  <c r="E40" i="31"/>
  <c r="G40" i="31" s="1"/>
  <c r="G39" i="31"/>
  <c r="G38" i="31"/>
  <c r="G98" i="31" l="1"/>
  <c r="G75" i="31"/>
  <c r="G183" i="31"/>
  <c r="G108" i="31"/>
  <c r="G51" i="31"/>
  <c r="G181" i="31"/>
  <c r="G185" i="31"/>
  <c r="G105" i="31"/>
  <c r="G150" i="31"/>
  <c r="G155" i="31"/>
  <c r="G114" i="31"/>
  <c r="G107" i="31"/>
  <c r="G97" i="31"/>
  <c r="G71" i="31"/>
  <c r="G153" i="31"/>
  <c r="G154" i="31"/>
  <c r="G100" i="31"/>
  <c r="G186" i="31"/>
  <c r="G99" i="31"/>
  <c r="G157" i="31"/>
  <c r="G156" i="31"/>
  <c r="G116" i="31"/>
  <c r="G144" i="31"/>
  <c r="G101" i="31"/>
  <c r="G151" i="31"/>
  <c r="G141" i="31"/>
  <c r="G182" i="31"/>
  <c r="G142" i="31"/>
  <c r="G96" i="31"/>
  <c r="G143" i="31"/>
  <c r="G184" i="31"/>
  <c r="T20" i="29" l="1"/>
  <c r="U20" i="29" s="1"/>
  <c r="T20" i="27"/>
  <c r="U20" i="27" s="1"/>
  <c r="K1060" i="18"/>
  <c r="J1060" i="18"/>
  <c r="I1060" i="18"/>
  <c r="H1060" i="18"/>
  <c r="G1060" i="18"/>
  <c r="F1060" i="18"/>
  <c r="E1060" i="18"/>
  <c r="D1060" i="18"/>
  <c r="C1060" i="18"/>
  <c r="E1070" i="18"/>
  <c r="F1070" i="18"/>
  <c r="G1070" i="18"/>
  <c r="H56" i="20"/>
  <c r="H55" i="20"/>
  <c r="F614" i="18" l="1"/>
  <c r="E614" i="18"/>
  <c r="B74" i="25"/>
  <c r="B73" i="25"/>
  <c r="I1163" i="18"/>
  <c r="E1152" i="18"/>
  <c r="D1152" i="18"/>
  <c r="N1122" i="18"/>
  <c r="X32" i="18"/>
  <c r="F104" i="21"/>
  <c r="B38" i="21"/>
  <c r="H36" i="20"/>
  <c r="F36" i="20"/>
  <c r="H34" i="20"/>
  <c r="F34" i="20"/>
  <c r="J9" i="30"/>
  <c r="J7" i="30"/>
  <c r="J5" i="30"/>
  <c r="J4" i="30"/>
  <c r="E165" i="28" l="1"/>
  <c r="E166" i="28"/>
  <c r="E164" i="28"/>
  <c r="O1195" i="18"/>
  <c r="O1196" i="18" s="1"/>
  <c r="Q1196" i="18"/>
  <c r="M1196" i="18"/>
  <c r="I1196" i="18"/>
  <c r="E1196" i="18"/>
  <c r="P1195" i="18"/>
  <c r="P1196" i="18" s="1"/>
  <c r="N1196" i="18"/>
  <c r="L1196" i="18"/>
  <c r="K1196" i="18"/>
  <c r="J1196" i="18"/>
  <c r="H1196" i="18"/>
  <c r="G1196" i="18" l="1"/>
  <c r="F1196" i="18"/>
  <c r="C1196" i="18"/>
  <c r="D1196" i="18"/>
  <c r="E117" i="28"/>
  <c r="C1132" i="18"/>
  <c r="P1133" i="18"/>
  <c r="O1133" i="18"/>
  <c r="M1133" i="18"/>
  <c r="L1133" i="18"/>
  <c r="K1133" i="18"/>
  <c r="N1133" i="18"/>
  <c r="I1133" i="18"/>
  <c r="H1133" i="18"/>
  <c r="G1133" i="18"/>
  <c r="F1133" i="18"/>
  <c r="E1133" i="18"/>
  <c r="D1133" i="18"/>
  <c r="J1133" i="18"/>
  <c r="Z1191" i="18" l="1"/>
  <c r="Z1194" i="18" s="1"/>
  <c r="L57" i="20"/>
  <c r="L58" i="20"/>
  <c r="E174" i="25"/>
  <c r="I174" i="25" s="1"/>
  <c r="E172" i="25"/>
  <c r="I43" i="30"/>
  <c r="I44" i="30"/>
  <c r="I45" i="30"/>
  <c r="I46" i="30"/>
  <c r="I47" i="30"/>
  <c r="I48" i="30"/>
  <c r="I49" i="30"/>
  <c r="I50" i="30"/>
  <c r="I51" i="30"/>
  <c r="I52" i="30"/>
  <c r="I53" i="30"/>
  <c r="I54" i="30"/>
  <c r="I55" i="30"/>
  <c r="I56" i="30"/>
  <c r="I57" i="30"/>
  <c r="I58" i="30"/>
  <c r="I59" i="30"/>
  <c r="I60" i="30"/>
  <c r="I61" i="30"/>
  <c r="I62" i="30"/>
  <c r="I63" i="30"/>
  <c r="I64" i="30"/>
  <c r="I65" i="30"/>
  <c r="I66" i="30"/>
  <c r="I67" i="30"/>
  <c r="I68" i="30"/>
  <c r="I69" i="30"/>
  <c r="I70" i="30"/>
  <c r="I71" i="30"/>
  <c r="I72" i="30"/>
  <c r="I73" i="30"/>
  <c r="I74" i="30"/>
  <c r="I75" i="30"/>
  <c r="I76" i="30"/>
  <c r="I77" i="30"/>
  <c r="I78" i="30"/>
  <c r="I79" i="30"/>
  <c r="I80" i="30"/>
  <c r="I81" i="30"/>
  <c r="I82" i="30"/>
  <c r="I83" i="30"/>
  <c r="I84" i="30"/>
  <c r="I85" i="30"/>
  <c r="I86" i="30"/>
  <c r="I87" i="30"/>
  <c r="I88" i="30"/>
  <c r="I89" i="30"/>
  <c r="I90" i="30"/>
  <c r="I91" i="30"/>
  <c r="I92" i="30"/>
  <c r="I93" i="30"/>
  <c r="I94" i="30"/>
  <c r="I95" i="30"/>
  <c r="I96" i="30"/>
  <c r="I97" i="30"/>
  <c r="I98" i="30"/>
  <c r="I99" i="30"/>
  <c r="I100" i="30"/>
  <c r="I101" i="30"/>
  <c r="I102" i="30"/>
  <c r="I103" i="30"/>
  <c r="I104" i="30"/>
  <c r="I105" i="30"/>
  <c r="I106" i="30"/>
  <c r="I107" i="30"/>
  <c r="I108" i="30"/>
  <c r="I109" i="30"/>
  <c r="I110" i="30"/>
  <c r="I111" i="30"/>
  <c r="I112" i="30"/>
  <c r="I113" i="30"/>
  <c r="I114" i="30"/>
  <c r="I115" i="30"/>
  <c r="I116" i="30"/>
  <c r="I117" i="30"/>
  <c r="I118" i="30"/>
  <c r="I119" i="30"/>
  <c r="I120" i="30"/>
  <c r="I121" i="30"/>
  <c r="I122" i="30"/>
  <c r="I123" i="30"/>
  <c r="I124" i="30"/>
  <c r="I125" i="30"/>
  <c r="I126" i="30"/>
  <c r="I127" i="30"/>
  <c r="I128" i="30"/>
  <c r="I129" i="30"/>
  <c r="I130" i="30"/>
  <c r="I131" i="30"/>
  <c r="I132" i="30"/>
  <c r="I133" i="30"/>
  <c r="I134" i="30"/>
  <c r="I135" i="30"/>
  <c r="I136" i="30"/>
  <c r="I137" i="30"/>
  <c r="I138" i="30"/>
  <c r="I139" i="30"/>
  <c r="I140" i="30"/>
  <c r="I141" i="30"/>
  <c r="I142" i="30"/>
  <c r="I143" i="30"/>
  <c r="I144" i="30"/>
  <c r="I145" i="30"/>
  <c r="I146" i="30"/>
  <c r="I147" i="30"/>
  <c r="I148" i="30"/>
  <c r="I149" i="30"/>
  <c r="I150" i="30"/>
  <c r="I151" i="30"/>
  <c r="I152" i="30"/>
  <c r="I153" i="30"/>
  <c r="I154" i="30"/>
  <c r="I155" i="30"/>
  <c r="I156" i="30"/>
  <c r="I157" i="30"/>
  <c r="I158" i="30"/>
  <c r="I159" i="30"/>
  <c r="I160" i="30"/>
  <c r="I161" i="30"/>
  <c r="I162" i="30"/>
  <c r="I163" i="30"/>
  <c r="I164" i="30"/>
  <c r="I165" i="30"/>
  <c r="I166" i="30"/>
  <c r="I167" i="30"/>
  <c r="I168" i="30"/>
  <c r="I169" i="30"/>
  <c r="I170" i="30"/>
  <c r="I171" i="30"/>
  <c r="I172" i="30"/>
  <c r="I173" i="30"/>
  <c r="I174" i="30"/>
  <c r="I175" i="30"/>
  <c r="I176" i="30"/>
  <c r="I177" i="30"/>
  <c r="I178" i="30"/>
  <c r="I179" i="30"/>
  <c r="I180" i="30"/>
  <c r="I181" i="30"/>
  <c r="I182" i="30"/>
  <c r="I183" i="30"/>
  <c r="I184" i="30"/>
  <c r="I185" i="30"/>
  <c r="I186" i="30"/>
  <c r="I187" i="30"/>
  <c r="I188" i="30"/>
  <c r="I189" i="30"/>
  <c r="I190" i="30"/>
  <c r="I191" i="30"/>
  <c r="I192" i="30"/>
  <c r="I193" i="30"/>
  <c r="I194" i="30"/>
  <c r="I195" i="30"/>
  <c r="I196" i="30"/>
  <c r="I197" i="30"/>
  <c r="I198" i="30"/>
  <c r="I199" i="30"/>
  <c r="I200" i="30"/>
  <c r="I201" i="30"/>
  <c r="I202" i="30"/>
  <c r="I203" i="30"/>
  <c r="I204" i="30"/>
  <c r="I205" i="30"/>
  <c r="I206" i="30"/>
  <c r="I207" i="30"/>
  <c r="I208" i="30"/>
  <c r="I209" i="30"/>
  <c r="I210" i="30"/>
  <c r="I211" i="30"/>
  <c r="I212" i="30"/>
  <c r="I213" i="30"/>
  <c r="I214" i="30"/>
  <c r="I215" i="30"/>
  <c r="I216" i="30"/>
  <c r="I217" i="30"/>
  <c r="I218" i="30"/>
  <c r="I219" i="30"/>
  <c r="I220" i="30"/>
  <c r="I221" i="30"/>
  <c r="I222" i="30"/>
  <c r="I223" i="30"/>
  <c r="I224" i="30"/>
  <c r="I225" i="30"/>
  <c r="I226" i="30"/>
  <c r="I227" i="30"/>
  <c r="I228" i="30"/>
  <c r="I229" i="30"/>
  <c r="I230" i="30"/>
  <c r="I231" i="30"/>
  <c r="I232" i="30"/>
  <c r="I233" i="30"/>
  <c r="I234" i="30"/>
  <c r="I235" i="30"/>
  <c r="I236" i="30"/>
  <c r="I237" i="30"/>
  <c r="I238" i="30"/>
  <c r="I239" i="30"/>
  <c r="I240" i="30"/>
  <c r="I241" i="30"/>
  <c r="I242" i="30"/>
  <c r="I243" i="30"/>
  <c r="I244" i="30"/>
  <c r="I245" i="30"/>
  <c r="I246" i="30"/>
  <c r="I247" i="30"/>
  <c r="I248" i="30"/>
  <c r="I249" i="30"/>
  <c r="I250" i="30"/>
  <c r="I251" i="30"/>
  <c r="I252" i="30"/>
  <c r="I253" i="30"/>
  <c r="I254" i="30"/>
  <c r="I255" i="30"/>
  <c r="I256" i="30"/>
  <c r="I257" i="30"/>
  <c r="I258" i="30"/>
  <c r="I259" i="30"/>
  <c r="I260" i="30"/>
  <c r="I261" i="30"/>
  <c r="I262" i="30"/>
  <c r="I263" i="30"/>
  <c r="I264" i="30"/>
  <c r="I265" i="30"/>
  <c r="I266" i="30"/>
  <c r="I267" i="30"/>
  <c r="I268" i="30"/>
  <c r="I269" i="30"/>
  <c r="I270" i="30"/>
  <c r="I271" i="30"/>
  <c r="I272" i="30"/>
  <c r="I273" i="30"/>
  <c r="I274" i="30"/>
  <c r="I275" i="30"/>
  <c r="I276" i="30"/>
  <c r="I277" i="30"/>
  <c r="I278" i="30"/>
  <c r="I279" i="30"/>
  <c r="I280" i="30"/>
  <c r="I281" i="30"/>
  <c r="I282" i="30"/>
  <c r="I283" i="30"/>
  <c r="I284" i="30"/>
  <c r="I285" i="30"/>
  <c r="I286" i="30"/>
  <c r="I287" i="30"/>
  <c r="I288" i="30"/>
  <c r="I289" i="30"/>
  <c r="I290" i="30"/>
  <c r="I291" i="30"/>
  <c r="I292" i="30"/>
  <c r="I293" i="30"/>
  <c r="I294" i="30"/>
  <c r="I295" i="30"/>
  <c r="I296" i="30"/>
  <c r="I297" i="30"/>
  <c r="I298" i="30"/>
  <c r="I299" i="30"/>
  <c r="I300" i="30"/>
  <c r="I301" i="30"/>
  <c r="I302" i="30"/>
  <c r="I303" i="30"/>
  <c r="I304" i="30"/>
  <c r="I305" i="30"/>
  <c r="I306" i="30"/>
  <c r="I307" i="30"/>
  <c r="I308" i="30"/>
  <c r="I309" i="30"/>
  <c r="I310" i="30"/>
  <c r="I311" i="30"/>
  <c r="I312" i="30"/>
  <c r="I313" i="30"/>
  <c r="I314" i="30"/>
  <c r="I315" i="30"/>
  <c r="I316" i="30"/>
  <c r="I317" i="30"/>
  <c r="I318" i="30"/>
  <c r="I319" i="30"/>
  <c r="I320" i="30"/>
  <c r="I321" i="30"/>
  <c r="I322" i="30"/>
  <c r="I323" i="30"/>
  <c r="I324" i="30"/>
  <c r="I325" i="30"/>
  <c r="I326" i="30"/>
  <c r="I327" i="30"/>
  <c r="I328" i="30"/>
  <c r="I329" i="30"/>
  <c r="I330" i="30"/>
  <c r="I331" i="30"/>
  <c r="I332" i="30"/>
  <c r="I333" i="30"/>
  <c r="I334" i="30"/>
  <c r="I335" i="30"/>
  <c r="I336" i="30"/>
  <c r="I337" i="30"/>
  <c r="I338" i="30"/>
  <c r="I339" i="30"/>
  <c r="I340" i="30"/>
  <c r="I341" i="30"/>
  <c r="I342" i="30"/>
  <c r="I343" i="30"/>
  <c r="I344" i="30"/>
  <c r="I345" i="30"/>
  <c r="I15" i="30"/>
  <c r="I16" i="30"/>
  <c r="I17" i="30"/>
  <c r="I18" i="30"/>
  <c r="I19" i="30"/>
  <c r="I20" i="30"/>
  <c r="I21" i="30"/>
  <c r="I22" i="30"/>
  <c r="I23" i="30"/>
  <c r="I24" i="30"/>
  <c r="I25" i="30"/>
  <c r="I26" i="30"/>
  <c r="I27" i="30"/>
  <c r="I28" i="30"/>
  <c r="I29" i="30"/>
  <c r="I30" i="30"/>
  <c r="I31" i="30"/>
  <c r="I32" i="30"/>
  <c r="I33" i="30"/>
  <c r="I34" i="30"/>
  <c r="I35" i="30"/>
  <c r="I36" i="30"/>
  <c r="I37" i="30"/>
  <c r="I38" i="30"/>
  <c r="I39" i="30"/>
  <c r="I40" i="30"/>
  <c r="I41" i="30"/>
  <c r="I42" i="30"/>
  <c r="G5" i="30"/>
  <c r="G6" i="30"/>
  <c r="G7" i="30"/>
  <c r="G8" i="30"/>
  <c r="G9" i="30"/>
  <c r="G4" i="30"/>
  <c r="I14" i="30"/>
  <c r="K9" i="30"/>
  <c r="L8" i="30"/>
  <c r="K7" i="30"/>
  <c r="L6" i="30"/>
  <c r="K5" i="30"/>
  <c r="K4" i="30"/>
  <c r="B5" i="29"/>
  <c r="B5" i="27"/>
  <c r="Z1198" i="18" l="1"/>
  <c r="Z1199" i="18"/>
  <c r="Z1197" i="18"/>
  <c r="Z1195" i="18"/>
  <c r="Z1192" i="18"/>
  <c r="Z1193" i="18"/>
  <c r="Z1196" i="18"/>
  <c r="C1133" i="18"/>
  <c r="Z1128" i="18" s="1"/>
  <c r="Z1131" i="18" s="1"/>
  <c r="F7" i="30"/>
  <c r="D7" i="30" s="1"/>
  <c r="F9" i="30"/>
  <c r="D9" i="30" s="1"/>
  <c r="F8" i="30"/>
  <c r="D8" i="30" s="1"/>
  <c r="F6" i="30"/>
  <c r="D6" i="30" s="1"/>
  <c r="C1197" i="18" l="1"/>
  <c r="F4" i="30"/>
  <c r="D4" i="30" s="1"/>
  <c r="F5" i="30"/>
  <c r="D5" i="30" s="1"/>
  <c r="Z1134" i="18"/>
  <c r="Z1129" i="18"/>
  <c r="Z1133" i="18"/>
  <c r="Z1132" i="18"/>
  <c r="Z1130" i="18"/>
  <c r="Z1136" i="18"/>
  <c r="Z1135" i="18"/>
  <c r="D8" i="28"/>
  <c r="F276" i="25" l="1"/>
  <c r="F195" i="31" s="1"/>
  <c r="G195" i="31" s="1"/>
  <c r="F275" i="25"/>
  <c r="F194" i="31" s="1"/>
  <c r="G194" i="31" s="1"/>
  <c r="F274" i="25"/>
  <c r="F193" i="31" s="1"/>
  <c r="G193" i="31" s="1"/>
  <c r="C1134" i="18"/>
  <c r="F204" i="25" s="1"/>
  <c r="F146" i="31" s="1"/>
  <c r="G146" i="31" s="1"/>
  <c r="E68" i="20"/>
  <c r="I274" i="25" l="1"/>
  <c r="F164" i="28"/>
  <c r="G164" i="28" s="1"/>
  <c r="I275" i="25"/>
  <c r="F165" i="28"/>
  <c r="G165" i="28" s="1"/>
  <c r="I276" i="25"/>
  <c r="F166" i="28"/>
  <c r="G166" i="28" s="1"/>
  <c r="F117" i="28"/>
  <c r="G117" i="28" s="1"/>
  <c r="I204" i="25"/>
  <c r="E69" i="20"/>
  <c r="E17" i="28" l="1"/>
  <c r="C21" i="18"/>
  <c r="C22" i="18" s="1"/>
  <c r="H22" i="18"/>
  <c r="G22" i="18"/>
  <c r="E22" i="18"/>
  <c r="F22" i="18"/>
  <c r="Z16" i="18" l="1"/>
  <c r="B80" i="21"/>
  <c r="Z24" i="18" l="1"/>
  <c r="Z23" i="18"/>
  <c r="Z21" i="18"/>
  <c r="Z20" i="18"/>
  <c r="Z19" i="18"/>
  <c r="Z22" i="18"/>
  <c r="Z18" i="18"/>
  <c r="Z17" i="18"/>
  <c r="D1142" i="18"/>
  <c r="C23" i="18" l="1"/>
  <c r="F54" i="25" s="1"/>
  <c r="E118" i="28"/>
  <c r="F17" i="28" l="1"/>
  <c r="G17" i="28" s="1"/>
  <c r="F46" i="31"/>
  <c r="G46" i="31" s="1"/>
  <c r="G856" i="18"/>
  <c r="F856" i="18"/>
  <c r="E821" i="18"/>
  <c r="F120" i="25" l="1"/>
  <c r="F103" i="31" s="1"/>
  <c r="G103" i="31" s="1"/>
  <c r="D1184" i="18"/>
  <c r="D981" i="18"/>
  <c r="F32" i="18"/>
  <c r="F263" i="25"/>
  <c r="B7" i="24" l="1"/>
  <c r="D20" i="26" l="1"/>
  <c r="E20" i="26"/>
  <c r="F20" i="26"/>
  <c r="G20" i="26"/>
  <c r="H20" i="26"/>
  <c r="I20" i="26"/>
  <c r="J20" i="26"/>
  <c r="K20" i="26"/>
  <c r="L20" i="26"/>
  <c r="M20" i="26"/>
  <c r="N20" i="26"/>
  <c r="O20" i="26"/>
  <c r="P20" i="26"/>
  <c r="Q20" i="26"/>
  <c r="R20" i="26"/>
  <c r="S20" i="26"/>
  <c r="T20" i="26"/>
  <c r="U20" i="26"/>
  <c r="V20" i="26"/>
  <c r="W20" i="26"/>
  <c r="X20" i="26"/>
  <c r="Y20" i="26"/>
  <c r="Z20" i="26"/>
  <c r="AA20" i="26"/>
  <c r="AB20" i="26"/>
  <c r="AC20" i="26"/>
  <c r="AD20" i="26"/>
  <c r="AE20" i="26"/>
  <c r="AF20" i="26"/>
  <c r="C20" i="26"/>
  <c r="D67" i="26"/>
  <c r="E67" i="26"/>
  <c r="F67" i="26"/>
  <c r="G67" i="26"/>
  <c r="H67" i="26"/>
  <c r="I67" i="26"/>
  <c r="J67" i="26"/>
  <c r="K67" i="26"/>
  <c r="L67" i="26"/>
  <c r="M67" i="26"/>
  <c r="N67" i="26"/>
  <c r="O67" i="26"/>
  <c r="P67" i="26"/>
  <c r="Q67" i="26"/>
  <c r="R67" i="26"/>
  <c r="S67" i="26"/>
  <c r="T67" i="26"/>
  <c r="U67" i="26"/>
  <c r="V67" i="26"/>
  <c r="W67" i="26"/>
  <c r="X67" i="26"/>
  <c r="Y67" i="26"/>
  <c r="Z67" i="26"/>
  <c r="AA67" i="26"/>
  <c r="AB67" i="26"/>
  <c r="AC67" i="26"/>
  <c r="AD67" i="26"/>
  <c r="AE67" i="26"/>
  <c r="AF67" i="26"/>
  <c r="C67" i="26"/>
  <c r="C46" i="26"/>
  <c r="AF46" i="26"/>
  <c r="AE46" i="26"/>
  <c r="AD46" i="26"/>
  <c r="AC46" i="26"/>
  <c r="AB46" i="26"/>
  <c r="AA46" i="26"/>
  <c r="Z46" i="26"/>
  <c r="Y46" i="26"/>
  <c r="X46" i="26"/>
  <c r="W46" i="26"/>
  <c r="V46" i="26"/>
  <c r="U46" i="26"/>
  <c r="T46" i="26"/>
  <c r="S46" i="26"/>
  <c r="R46" i="26"/>
  <c r="Q46" i="26"/>
  <c r="P46" i="26"/>
  <c r="O46" i="26"/>
  <c r="N46" i="26"/>
  <c r="M46" i="26"/>
  <c r="L46" i="26"/>
  <c r="K46" i="26"/>
  <c r="J46" i="26"/>
  <c r="I46" i="26"/>
  <c r="H46" i="26"/>
  <c r="G46" i="26"/>
  <c r="F46" i="26"/>
  <c r="E46" i="26"/>
  <c r="D46" i="26"/>
  <c r="V19" i="26"/>
  <c r="S19" i="26"/>
  <c r="AF19" i="26"/>
  <c r="X19" i="26"/>
  <c r="AE19" i="26"/>
  <c r="AA19" i="26"/>
  <c r="AC19" i="26"/>
  <c r="W19" i="26"/>
  <c r="AB19" i="26"/>
  <c r="F19" i="26"/>
  <c r="K19" i="26"/>
  <c r="C19" i="26"/>
  <c r="R19" i="26"/>
  <c r="H19" i="26"/>
  <c r="U19" i="26"/>
  <c r="Q19" i="26"/>
  <c r="N19" i="26"/>
  <c r="M19" i="26"/>
  <c r="E19" i="26"/>
  <c r="J19" i="26"/>
  <c r="O19" i="26"/>
  <c r="L19" i="26"/>
  <c r="I19" i="26"/>
  <c r="T19" i="26"/>
  <c r="Y19" i="26"/>
  <c r="AD19" i="26"/>
  <c r="D19" i="26"/>
  <c r="Z19" i="26"/>
  <c r="P19" i="26"/>
  <c r="G19" i="26"/>
  <c r="L19" i="20" l="1"/>
  <c r="D39" i="21"/>
  <c r="K26" i="21" l="1"/>
  <c r="D42" i="25" l="1"/>
  <c r="I42" i="25" s="1"/>
  <c r="I43" i="25"/>
  <c r="I256" i="25" l="1"/>
  <c r="I264" i="25"/>
  <c r="D1143" i="18" l="1"/>
  <c r="J1143" i="18"/>
  <c r="I1143" i="18"/>
  <c r="H1143" i="18"/>
  <c r="G1143" i="18"/>
  <c r="F1143" i="18"/>
  <c r="E1143" i="18"/>
  <c r="C1143" i="18"/>
  <c r="D1122" i="18"/>
  <c r="L29" i="20"/>
  <c r="Z1138" i="18" l="1"/>
  <c r="Z1146" i="18" s="1"/>
  <c r="B16" i="26"/>
  <c r="F16" i="26" l="1"/>
  <c r="E16" i="26"/>
  <c r="M16" i="26"/>
  <c r="G16" i="26"/>
  <c r="O16" i="26"/>
  <c r="P16" i="26"/>
  <c r="Q16" i="26"/>
  <c r="J16" i="26"/>
  <c r="R16" i="26"/>
  <c r="N16" i="26"/>
  <c r="H16" i="26"/>
  <c r="I16" i="26"/>
  <c r="K16" i="26"/>
  <c r="S16" i="26"/>
  <c r="T16" i="26"/>
  <c r="U16" i="26"/>
  <c r="L16" i="26"/>
  <c r="Z1142" i="18"/>
  <c r="Z1140" i="18"/>
  <c r="Z1143" i="18"/>
  <c r="Z1139" i="18"/>
  <c r="Z1141" i="18"/>
  <c r="Z1144" i="18"/>
  <c r="Z1145" i="18"/>
  <c r="V16" i="26"/>
  <c r="I35" i="25"/>
  <c r="I36" i="25"/>
  <c r="I37" i="25"/>
  <c r="D41" i="25"/>
  <c r="I41" i="25" s="1"/>
  <c r="D40" i="25"/>
  <c r="I40" i="25" s="1"/>
  <c r="D39" i="25"/>
  <c r="I39" i="25" s="1"/>
  <c r="D38" i="25"/>
  <c r="I38" i="25" s="1"/>
  <c r="I46" i="25"/>
  <c r="I47" i="25"/>
  <c r="M103" i="21"/>
  <c r="L103" i="21"/>
  <c r="K103" i="21"/>
  <c r="C1144" i="18" l="1"/>
  <c r="F205" i="25" s="1"/>
  <c r="F147" i="31" s="1"/>
  <c r="G147" i="31" s="1"/>
  <c r="M28" i="21"/>
  <c r="M29" i="21"/>
  <c r="M30" i="21"/>
  <c r="M31" i="21"/>
  <c r="M33" i="21"/>
  <c r="M34" i="21"/>
  <c r="M35" i="21"/>
  <c r="M36" i="21"/>
  <c r="M37" i="21"/>
  <c r="M39" i="21"/>
  <c r="M40" i="21"/>
  <c r="M41" i="21"/>
  <c r="M43" i="21"/>
  <c r="M44" i="21"/>
  <c r="M45" i="21"/>
  <c r="M46" i="21"/>
  <c r="M48" i="21"/>
  <c r="M49" i="21"/>
  <c r="M50" i="21"/>
  <c r="M51" i="21"/>
  <c r="M52" i="21"/>
  <c r="M53" i="21"/>
  <c r="M55" i="21"/>
  <c r="M56" i="21"/>
  <c r="M57" i="21"/>
  <c r="M58" i="21"/>
  <c r="M59" i="21"/>
  <c r="M60" i="21"/>
  <c r="M61" i="21"/>
  <c r="M62" i="21"/>
  <c r="M63" i="21"/>
  <c r="M64" i="21"/>
  <c r="M65" i="21"/>
  <c r="M66" i="21"/>
  <c r="M67" i="21"/>
  <c r="M68" i="21"/>
  <c r="M69" i="21"/>
  <c r="M75" i="21"/>
  <c r="M78" i="21"/>
  <c r="M79" i="21"/>
  <c r="M80" i="21"/>
  <c r="M81" i="21"/>
  <c r="M82" i="21"/>
  <c r="M83" i="21"/>
  <c r="M84" i="21"/>
  <c r="M85" i="21"/>
  <c r="M86" i="21"/>
  <c r="M87" i="21"/>
  <c r="M88" i="21"/>
  <c r="M89" i="21"/>
  <c r="M90" i="21"/>
  <c r="M91" i="21"/>
  <c r="M92" i="21"/>
  <c r="M93" i="21"/>
  <c r="M94" i="21"/>
  <c r="M95" i="21"/>
  <c r="M96" i="21"/>
  <c r="M97" i="21"/>
  <c r="M98" i="21"/>
  <c r="M99" i="21"/>
  <c r="M100" i="21"/>
  <c r="M101" i="21"/>
  <c r="M102" i="21"/>
  <c r="L24" i="21"/>
  <c r="L25" i="21"/>
  <c r="L28" i="21"/>
  <c r="L29" i="21"/>
  <c r="L30" i="21"/>
  <c r="L31" i="21"/>
  <c r="L32" i="21"/>
  <c r="L33" i="21"/>
  <c r="L34" i="21"/>
  <c r="L35" i="21"/>
  <c r="L36" i="21"/>
  <c r="L37" i="21"/>
  <c r="L38" i="21"/>
  <c r="L40" i="21"/>
  <c r="L41" i="21"/>
  <c r="L42" i="21"/>
  <c r="L43" i="21"/>
  <c r="L44" i="21"/>
  <c r="L45" i="21"/>
  <c r="L46" i="21"/>
  <c r="L47" i="21"/>
  <c r="L48" i="21"/>
  <c r="L49" i="21"/>
  <c r="L50" i="21"/>
  <c r="L51" i="21"/>
  <c r="L52" i="21"/>
  <c r="L54" i="21"/>
  <c r="L55" i="21"/>
  <c r="L56" i="21"/>
  <c r="L57" i="21"/>
  <c r="L58" i="21"/>
  <c r="L59" i="21"/>
  <c r="L60" i="21"/>
  <c r="L61" i="21"/>
  <c r="L62" i="21"/>
  <c r="L63" i="21"/>
  <c r="L64" i="21"/>
  <c r="L65" i="21"/>
  <c r="L66" i="21"/>
  <c r="L67" i="21"/>
  <c r="L68" i="21"/>
  <c r="L69" i="21"/>
  <c r="L70" i="21"/>
  <c r="L71" i="21"/>
  <c r="L75" i="21"/>
  <c r="L76" i="21"/>
  <c r="L77" i="21"/>
  <c r="L78" i="21"/>
  <c r="L79" i="21"/>
  <c r="L80" i="21"/>
  <c r="L81" i="21"/>
  <c r="L82" i="21"/>
  <c r="L83" i="21"/>
  <c r="L84" i="21"/>
  <c r="L85" i="21"/>
  <c r="L86" i="21"/>
  <c r="L87" i="21"/>
  <c r="L88" i="21"/>
  <c r="L89" i="21"/>
  <c r="L90" i="21"/>
  <c r="L91" i="21"/>
  <c r="L92" i="21"/>
  <c r="L93" i="21"/>
  <c r="L94" i="21"/>
  <c r="L95" i="21"/>
  <c r="L96" i="21"/>
  <c r="L97" i="21"/>
  <c r="L98" i="21"/>
  <c r="L99" i="21"/>
  <c r="L100" i="21"/>
  <c r="L101" i="21"/>
  <c r="L102" i="21"/>
  <c r="K27" i="21"/>
  <c r="K28" i="21"/>
  <c r="K29" i="21"/>
  <c r="K30" i="21"/>
  <c r="K31" i="21"/>
  <c r="K32" i="21"/>
  <c r="K33" i="21"/>
  <c r="K36" i="21"/>
  <c r="K37" i="21"/>
  <c r="K39" i="21"/>
  <c r="K40" i="21"/>
  <c r="K41" i="21"/>
  <c r="K42" i="21"/>
  <c r="K43" i="21"/>
  <c r="K44" i="21"/>
  <c r="K45" i="21"/>
  <c r="K47" i="21"/>
  <c r="K48" i="21"/>
  <c r="K49" i="21"/>
  <c r="K50" i="21"/>
  <c r="K51" i="21"/>
  <c r="K52" i="21"/>
  <c r="K54" i="21"/>
  <c r="K55" i="21"/>
  <c r="K57" i="21"/>
  <c r="K58" i="21"/>
  <c r="K59" i="21"/>
  <c r="K60" i="21"/>
  <c r="K61" i="21"/>
  <c r="K62" i="21"/>
  <c r="K63" i="21"/>
  <c r="K64" i="21"/>
  <c r="K65" i="21"/>
  <c r="K66" i="21"/>
  <c r="K67" i="21"/>
  <c r="K68" i="21"/>
  <c r="K69" i="21"/>
  <c r="K70" i="21"/>
  <c r="K71" i="21"/>
  <c r="K72" i="21"/>
  <c r="K73" i="21"/>
  <c r="K74" i="21"/>
  <c r="K75" i="21"/>
  <c r="K76" i="21"/>
  <c r="K77" i="21"/>
  <c r="K78" i="21"/>
  <c r="K79" i="21"/>
  <c r="K80" i="21"/>
  <c r="K81" i="21"/>
  <c r="K82" i="21"/>
  <c r="K83" i="21"/>
  <c r="K84" i="21"/>
  <c r="K85" i="21"/>
  <c r="K86" i="21"/>
  <c r="K87" i="21"/>
  <c r="K88" i="21"/>
  <c r="K89" i="21"/>
  <c r="K90" i="21"/>
  <c r="K91" i="21"/>
  <c r="K92" i="21"/>
  <c r="K93" i="21"/>
  <c r="K94" i="21"/>
  <c r="K95" i="21"/>
  <c r="K96" i="21"/>
  <c r="K97" i="21"/>
  <c r="K98" i="21"/>
  <c r="K99" i="21"/>
  <c r="K100" i="21"/>
  <c r="K101" i="21"/>
  <c r="K102" i="21"/>
  <c r="K104" i="21"/>
  <c r="D53" i="21"/>
  <c r="I205" i="25" l="1"/>
  <c r="F118" i="28"/>
  <c r="G118" i="28" s="1"/>
  <c r="D22" i="26"/>
  <c r="E22" i="26"/>
  <c r="F22" i="26"/>
  <c r="G22" i="26"/>
  <c r="H22" i="26"/>
  <c r="I22" i="26"/>
  <c r="J22" i="26"/>
  <c r="K22" i="26"/>
  <c r="L22" i="26"/>
  <c r="M22" i="26"/>
  <c r="N22" i="26"/>
  <c r="O22" i="26"/>
  <c r="P22" i="26"/>
  <c r="Q22" i="26"/>
  <c r="R22" i="26"/>
  <c r="S22" i="26"/>
  <c r="T22" i="26"/>
  <c r="U22" i="26"/>
  <c r="V22" i="26"/>
  <c r="W22" i="26"/>
  <c r="X22" i="26"/>
  <c r="Y22" i="26"/>
  <c r="Z22" i="26"/>
  <c r="AA22" i="26"/>
  <c r="AB22" i="26"/>
  <c r="AC22" i="26"/>
  <c r="AD22" i="26"/>
  <c r="AE22" i="26"/>
  <c r="AF22" i="26"/>
  <c r="C22" i="26"/>
  <c r="B25" i="21" l="1"/>
  <c r="K25" i="21" s="1"/>
  <c r="B53" i="21" l="1"/>
  <c r="K53" i="21" s="1"/>
  <c r="K38" i="21"/>
  <c r="B24" i="21"/>
  <c r="K24" i="21" s="1"/>
  <c r="G9" i="28"/>
  <c r="F16" i="28"/>
  <c r="G16" i="28" s="1"/>
  <c r="L25" i="20"/>
  <c r="L26" i="20"/>
  <c r="L27" i="20"/>
  <c r="L28" i="20"/>
  <c r="L34" i="20"/>
  <c r="L35" i="20"/>
  <c r="L36" i="20"/>
  <c r="L40" i="20"/>
  <c r="L41" i="20"/>
  <c r="L42" i="20"/>
  <c r="L43" i="20"/>
  <c r="L44" i="20"/>
  <c r="L45" i="20"/>
  <c r="L46" i="20"/>
  <c r="L47" i="20"/>
  <c r="L48" i="20"/>
  <c r="L49" i="20"/>
  <c r="L54" i="20"/>
  <c r="L55" i="20"/>
  <c r="L56" i="20"/>
  <c r="L15" i="20"/>
  <c r="L16" i="20"/>
  <c r="L17" i="20"/>
  <c r="L18" i="20"/>
  <c r="L14" i="20"/>
  <c r="G15" i="28" l="1"/>
  <c r="F72" i="28"/>
  <c r="E72" i="28"/>
  <c r="I117" i="25"/>
  <c r="G72" i="28" l="1"/>
  <c r="I122" i="25"/>
  <c r="I123" i="25"/>
  <c r="I128" i="25" l="1"/>
  <c r="I131" i="25"/>
  <c r="E122" i="28" l="1"/>
  <c r="F122" i="28"/>
  <c r="E123" i="28"/>
  <c r="F123" i="28"/>
  <c r="E124" i="28"/>
  <c r="F124" i="28"/>
  <c r="E125" i="28"/>
  <c r="F125" i="28"/>
  <c r="E126" i="28"/>
  <c r="F126" i="28"/>
  <c r="E127" i="28"/>
  <c r="F127" i="28"/>
  <c r="E128" i="28"/>
  <c r="F128" i="28"/>
  <c r="F121" i="28"/>
  <c r="E121" i="28"/>
  <c r="I219" i="25"/>
  <c r="G127" i="28" l="1"/>
  <c r="G121" i="28"/>
  <c r="G124" i="28"/>
  <c r="G125" i="28"/>
  <c r="G123" i="28"/>
  <c r="G128" i="28"/>
  <c r="G126" i="28"/>
  <c r="G122" i="28"/>
  <c r="E71" i="28"/>
  <c r="F71" i="28"/>
  <c r="I116" i="25"/>
  <c r="G71" i="28" l="1"/>
  <c r="I209" i="25"/>
  <c r="I210" i="25"/>
  <c r="O280" i="25"/>
  <c r="O279" i="25"/>
  <c r="E162" i="28"/>
  <c r="E163" i="28"/>
  <c r="E161" i="28"/>
  <c r="E159" i="28"/>
  <c r="E160" i="28"/>
  <c r="E158" i="28"/>
  <c r="E157" i="28"/>
  <c r="F157" i="28"/>
  <c r="E153" i="28"/>
  <c r="F153" i="28"/>
  <c r="E154" i="28"/>
  <c r="F154" i="28"/>
  <c r="E155" i="28"/>
  <c r="F155" i="28"/>
  <c r="E156" i="28"/>
  <c r="F156" i="28"/>
  <c r="F152" i="28"/>
  <c r="E152" i="28"/>
  <c r="E147" i="28"/>
  <c r="E148" i="28"/>
  <c r="E149" i="28"/>
  <c r="E150" i="28"/>
  <c r="E151" i="28"/>
  <c r="E146" i="28"/>
  <c r="E142" i="28"/>
  <c r="E143" i="28"/>
  <c r="E144" i="28"/>
  <c r="E145" i="28"/>
  <c r="E141" i="28"/>
  <c r="E130" i="28"/>
  <c r="E131" i="28"/>
  <c r="E132" i="28"/>
  <c r="E133" i="28"/>
  <c r="E134" i="28"/>
  <c r="E135" i="28"/>
  <c r="E136" i="28"/>
  <c r="E137" i="28"/>
  <c r="E138" i="28"/>
  <c r="E139" i="28"/>
  <c r="E140" i="28"/>
  <c r="E129" i="28"/>
  <c r="E111" i="28"/>
  <c r="E112" i="28"/>
  <c r="F112" i="28"/>
  <c r="E113" i="28"/>
  <c r="F113" i="28"/>
  <c r="E114" i="28"/>
  <c r="F114" i="28"/>
  <c r="E115" i="28"/>
  <c r="F115" i="28"/>
  <c r="E116" i="28"/>
  <c r="E119" i="28"/>
  <c r="E120" i="28"/>
  <c r="E100" i="28"/>
  <c r="E101" i="28"/>
  <c r="E102" i="28"/>
  <c r="E103" i="28"/>
  <c r="E104" i="28"/>
  <c r="E105" i="28"/>
  <c r="E106" i="28"/>
  <c r="E107" i="28"/>
  <c r="E108" i="28"/>
  <c r="E109" i="28"/>
  <c r="E110" i="28"/>
  <c r="E99" i="28"/>
  <c r="E96" i="28"/>
  <c r="E97" i="28"/>
  <c r="E98" i="28"/>
  <c r="E85" i="28"/>
  <c r="F85" i="28"/>
  <c r="E87" i="28"/>
  <c r="F87" i="28"/>
  <c r="F76" i="28"/>
  <c r="F78" i="28"/>
  <c r="F79" i="28"/>
  <c r="E76" i="28"/>
  <c r="E78" i="28"/>
  <c r="E79" i="28"/>
  <c r="E22" i="28"/>
  <c r="F22" i="28"/>
  <c r="E42" i="28"/>
  <c r="F42" i="28"/>
  <c r="E46" i="28"/>
  <c r="F46" i="28"/>
  <c r="E54" i="28"/>
  <c r="E55" i="28"/>
  <c r="E56" i="28"/>
  <c r="E57" i="28"/>
  <c r="E58" i="28"/>
  <c r="E59" i="28"/>
  <c r="E60" i="28"/>
  <c r="E61" i="28"/>
  <c r="E62" i="28"/>
  <c r="E63" i="28"/>
  <c r="E64" i="28"/>
  <c r="E65" i="28"/>
  <c r="E66" i="28"/>
  <c r="E67" i="28"/>
  <c r="F67" i="28"/>
  <c r="E68" i="28"/>
  <c r="F68" i="28"/>
  <c r="E69" i="28"/>
  <c r="F69" i="28"/>
  <c r="E70" i="28"/>
  <c r="F70" i="28"/>
  <c r="E74" i="28"/>
  <c r="I63" i="18"/>
  <c r="I64" i="18" s="1"/>
  <c r="J64" i="18"/>
  <c r="H64" i="18"/>
  <c r="G64" i="18"/>
  <c r="E64" i="18"/>
  <c r="K64" i="18"/>
  <c r="F64" i="18"/>
  <c r="D64" i="18"/>
  <c r="F193" i="25"/>
  <c r="F110" i="28" l="1"/>
  <c r="F139" i="31"/>
  <c r="G139" i="31" s="1"/>
  <c r="G78" i="28"/>
  <c r="G42" i="28"/>
  <c r="G115" i="28"/>
  <c r="G156" i="28"/>
  <c r="G157" i="28"/>
  <c r="G113" i="28"/>
  <c r="G110" i="28"/>
  <c r="G152" i="28"/>
  <c r="G154" i="28"/>
  <c r="G68" i="28"/>
  <c r="G76" i="28"/>
  <c r="G46" i="28"/>
  <c r="G112" i="28"/>
  <c r="G67" i="28"/>
  <c r="G153" i="28"/>
  <c r="G70" i="28"/>
  <c r="G22" i="28"/>
  <c r="G87" i="28"/>
  <c r="G114" i="28"/>
  <c r="G69" i="28"/>
  <c r="G79" i="28"/>
  <c r="G85" i="28"/>
  <c r="G155" i="28"/>
  <c r="Z59" i="18"/>
  <c r="I193" i="25"/>
  <c r="G5" i="28"/>
  <c r="G6" i="28"/>
  <c r="G7" i="28"/>
  <c r="G8" i="28"/>
  <c r="G10" i="28"/>
  <c r="I114" i="25"/>
  <c r="I113" i="25"/>
  <c r="I112" i="25"/>
  <c r="I111" i="25"/>
  <c r="Z67" i="18" l="1"/>
  <c r="Z66" i="18"/>
  <c r="Z65" i="18"/>
  <c r="Z62" i="18"/>
  <c r="Z61" i="18"/>
  <c r="Z64" i="18"/>
  <c r="Z60" i="18"/>
  <c r="Z63" i="18"/>
  <c r="E14" i="28"/>
  <c r="G14" i="28" s="1"/>
  <c r="E13" i="28"/>
  <c r="G13" i="28" s="1"/>
  <c r="E12" i="28"/>
  <c r="G12" i="28" s="1"/>
  <c r="E11" i="28"/>
  <c r="G11" i="28" s="1"/>
  <c r="C65" i="18" l="1"/>
  <c r="F97" i="25" s="1"/>
  <c r="F54" i="28" l="1"/>
  <c r="G54" i="28" s="1"/>
  <c r="F83" i="31"/>
  <c r="G83" i="31" s="1"/>
  <c r="C32" i="18"/>
  <c r="C17" i="29" l="1"/>
  <c r="C19" i="29" s="1"/>
  <c r="E171" i="25" l="1"/>
  <c r="E1005" i="18"/>
  <c r="C20" i="29"/>
  <c r="C21" i="29" s="1"/>
  <c r="D234" i="25"/>
  <c r="J1017" i="18"/>
  <c r="K1017" i="18"/>
  <c r="N15" i="29"/>
  <c r="E67" i="20"/>
  <c r="E66" i="20"/>
  <c r="D62" i="25" l="1"/>
  <c r="D52" i="18"/>
  <c r="E52" i="18"/>
  <c r="F52" i="18"/>
  <c r="M52" i="18"/>
  <c r="K52" i="18"/>
  <c r="J52" i="18"/>
  <c r="I52" i="18"/>
  <c r="H52" i="18"/>
  <c r="C52" i="18"/>
  <c r="G52" i="18"/>
  <c r="E20" i="28" l="1"/>
  <c r="E49" i="31"/>
  <c r="I232" i="25"/>
  <c r="I61" i="25"/>
  <c r="I63" i="25"/>
  <c r="O1005" i="18" l="1"/>
  <c r="F94" i="18" l="1"/>
  <c r="D94" i="18"/>
  <c r="I97" i="25"/>
  <c r="D152" i="25" l="1"/>
  <c r="D151" i="25"/>
  <c r="D150" i="25"/>
  <c r="D149" i="25"/>
  <c r="D148" i="25"/>
  <c r="D156" i="25"/>
  <c r="D159" i="25"/>
  <c r="E80" i="28" l="1"/>
  <c r="E109" i="31"/>
  <c r="E88" i="28"/>
  <c r="E117" i="31"/>
  <c r="E82" i="28"/>
  <c r="E111" i="31"/>
  <c r="E84" i="28"/>
  <c r="E113" i="31"/>
  <c r="E86" i="28"/>
  <c r="E115" i="31"/>
  <c r="E81" i="28"/>
  <c r="E110" i="31"/>
  <c r="E83" i="28"/>
  <c r="E112" i="31"/>
  <c r="F208" i="25"/>
  <c r="C1174" i="18"/>
  <c r="J1174" i="18"/>
  <c r="H1174" i="18"/>
  <c r="G1174" i="18"/>
  <c r="E1174" i="18"/>
  <c r="D1174" i="18"/>
  <c r="I1174" i="18"/>
  <c r="F1174" i="18"/>
  <c r="F120" i="28" l="1"/>
  <c r="G120" i="28" s="1"/>
  <c r="F149" i="31"/>
  <c r="G149" i="31" s="1"/>
  <c r="G935" i="18"/>
  <c r="F935" i="18"/>
  <c r="E935" i="18"/>
  <c r="D935" i="18"/>
  <c r="C946" i="18"/>
  <c r="C947" i="18" s="1"/>
  <c r="D947" i="18"/>
  <c r="E947" i="18"/>
  <c r="F947" i="18"/>
  <c r="G947" i="18"/>
  <c r="H947" i="18"/>
  <c r="I947" i="18"/>
  <c r="J947" i="18"/>
  <c r="K947" i="18"/>
  <c r="L947" i="18"/>
  <c r="F857" i="18"/>
  <c r="H821" i="18"/>
  <c r="H822" i="18" s="1"/>
  <c r="D822" i="18"/>
  <c r="E822" i="18"/>
  <c r="J914" i="18"/>
  <c r="I914" i="18"/>
  <c r="H914" i="18"/>
  <c r="G914" i="18"/>
  <c r="F914" i="18"/>
  <c r="E914" i="18"/>
  <c r="D914" i="18"/>
  <c r="D901" i="18"/>
  <c r="E891" i="18"/>
  <c r="I875" i="18"/>
  <c r="H875" i="18"/>
  <c r="E875" i="18"/>
  <c r="D875" i="18"/>
  <c r="G874" i="18"/>
  <c r="G875" i="18" s="1"/>
  <c r="G857" i="18"/>
  <c r="E857" i="18"/>
  <c r="D857" i="18"/>
  <c r="F822" i="18"/>
  <c r="G822" i="18"/>
  <c r="Z930" i="18" l="1"/>
  <c r="Z935" i="18" s="1"/>
  <c r="Z942" i="18"/>
  <c r="Z948" i="18" s="1"/>
  <c r="Z852" i="18"/>
  <c r="Z854" i="18" s="1"/>
  <c r="Z817" i="18"/>
  <c r="C1081" i="18"/>
  <c r="D142" i="25"/>
  <c r="E75" i="28" l="1"/>
  <c r="E104" i="31"/>
  <c r="Z944" i="18"/>
  <c r="Z933" i="18"/>
  <c r="Z938" i="18"/>
  <c r="Z936" i="18"/>
  <c r="Z934" i="18"/>
  <c r="Z932" i="18"/>
  <c r="Z943" i="18"/>
  <c r="Z937" i="18"/>
  <c r="Z946" i="18"/>
  <c r="Z931" i="18"/>
  <c r="Z947" i="18"/>
  <c r="Z945" i="18"/>
  <c r="Z859" i="18"/>
  <c r="Z858" i="18"/>
  <c r="Z855" i="18"/>
  <c r="Z856" i="18"/>
  <c r="Z860" i="18"/>
  <c r="Z857" i="18"/>
  <c r="Z853" i="18"/>
  <c r="Z821" i="18"/>
  <c r="Z825" i="18"/>
  <c r="Z818" i="18"/>
  <c r="Z824" i="18"/>
  <c r="Z823" i="18"/>
  <c r="Z820" i="18"/>
  <c r="Z822" i="18"/>
  <c r="Z819" i="18"/>
  <c r="C936" i="18" l="1"/>
  <c r="C823" i="18"/>
  <c r="C858" i="18"/>
  <c r="Z950" i="18"/>
  <c r="Z949" i="18"/>
  <c r="C320" i="18" l="1"/>
  <c r="C948" i="18"/>
  <c r="F142" i="25" l="1"/>
  <c r="M32" i="18"/>
  <c r="F75" i="28" l="1"/>
  <c r="G75" i="28" s="1"/>
  <c r="F104" i="31"/>
  <c r="G104" i="31" s="1"/>
  <c r="I263" i="25"/>
  <c r="F74" i="28" l="1"/>
  <c r="G74" i="28" s="1"/>
  <c r="D982" i="18"/>
  <c r="D1185" i="18"/>
  <c r="G1185" i="18"/>
  <c r="C1185" i="18"/>
  <c r="F1185" i="18"/>
  <c r="L981" i="18"/>
  <c r="L982" i="18" s="1"/>
  <c r="N982" i="18"/>
  <c r="M982" i="18"/>
  <c r="K982" i="18"/>
  <c r="J982" i="18"/>
  <c r="I982" i="18"/>
  <c r="H982" i="18"/>
  <c r="G982" i="18"/>
  <c r="F982" i="18"/>
  <c r="E982" i="18"/>
  <c r="I258" i="25"/>
  <c r="I259" i="25"/>
  <c r="I260" i="25"/>
  <c r="I261" i="25"/>
  <c r="I262" i="25"/>
  <c r="I257" i="25"/>
  <c r="Z1180" i="18" l="1"/>
  <c r="Z977" i="18"/>
  <c r="Z985" i="18" s="1"/>
  <c r="I277" i="25"/>
  <c r="I4" i="25"/>
  <c r="I48" i="25"/>
  <c r="I49" i="25"/>
  <c r="I50" i="25"/>
  <c r="I52" i="25"/>
  <c r="I53" i="25"/>
  <c r="I54" i="25"/>
  <c r="I55" i="25"/>
  <c r="I56" i="25"/>
  <c r="I57" i="25"/>
  <c r="I58" i="25"/>
  <c r="I65" i="25"/>
  <c r="I85" i="25"/>
  <c r="I118" i="25"/>
  <c r="I120" i="25"/>
  <c r="I125" i="25"/>
  <c r="I126" i="25"/>
  <c r="I127" i="25"/>
  <c r="I129" i="25"/>
  <c r="I130" i="25"/>
  <c r="I133" i="25"/>
  <c r="I134" i="25"/>
  <c r="I135" i="25"/>
  <c r="I136" i="25"/>
  <c r="I137" i="25"/>
  <c r="I138" i="25"/>
  <c r="I139" i="25"/>
  <c r="I140" i="25"/>
  <c r="I141" i="25"/>
  <c r="I142" i="25"/>
  <c r="I143" i="25"/>
  <c r="I145" i="25"/>
  <c r="I146" i="25"/>
  <c r="I147" i="25"/>
  <c r="I153" i="25"/>
  <c r="I154" i="25"/>
  <c r="I155" i="25"/>
  <c r="I157" i="25"/>
  <c r="I158" i="25"/>
  <c r="I160" i="25"/>
  <c r="I168" i="25"/>
  <c r="I170" i="25"/>
  <c r="I176" i="25"/>
  <c r="I177" i="25"/>
  <c r="I178" i="25"/>
  <c r="I179" i="25"/>
  <c r="I180" i="25"/>
  <c r="I181" i="25"/>
  <c r="I194" i="25"/>
  <c r="I196" i="25"/>
  <c r="I197" i="25"/>
  <c r="I198" i="25"/>
  <c r="I199" i="25"/>
  <c r="I200" i="25"/>
  <c r="I201" i="25"/>
  <c r="I203" i="25"/>
  <c r="I207" i="25"/>
  <c r="I208" i="25"/>
  <c r="I233" i="25"/>
  <c r="I240" i="25"/>
  <c r="I248" i="25"/>
  <c r="I249" i="25"/>
  <c r="I250" i="25"/>
  <c r="I251" i="25"/>
  <c r="I252" i="25"/>
  <c r="I253" i="25"/>
  <c r="I254" i="25"/>
  <c r="I255" i="25"/>
  <c r="I268" i="25"/>
  <c r="I269" i="25"/>
  <c r="I51" i="25"/>
  <c r="Z1188" i="18" l="1"/>
  <c r="Z1187" i="18"/>
  <c r="Z1186" i="18"/>
  <c r="Z1185" i="18"/>
  <c r="Z1183" i="18"/>
  <c r="Z1182" i="18"/>
  <c r="Z1184" i="18"/>
  <c r="Z1181" i="18"/>
  <c r="Z979" i="18"/>
  <c r="Z983" i="18"/>
  <c r="Z982" i="18"/>
  <c r="Z980" i="18"/>
  <c r="Z981" i="18"/>
  <c r="Z978" i="18"/>
  <c r="Z984" i="18"/>
  <c r="C1186" i="18" l="1"/>
  <c r="C983" i="18"/>
  <c r="F156" i="25" l="1"/>
  <c r="F115" i="31" s="1"/>
  <c r="G115" i="31" s="1"/>
  <c r="F202" i="25"/>
  <c r="G1164" i="18"/>
  <c r="H1164" i="18"/>
  <c r="J1164" i="18"/>
  <c r="K1164" i="18"/>
  <c r="L1164" i="18"/>
  <c r="M1164" i="18"/>
  <c r="N1164" i="18"/>
  <c r="O1164" i="18"/>
  <c r="E1164" i="18"/>
  <c r="I1164" i="18"/>
  <c r="F116" i="28" l="1"/>
  <c r="G116" i="28" s="1"/>
  <c r="F145" i="31"/>
  <c r="G145" i="31" s="1"/>
  <c r="I156" i="25"/>
  <c r="F86" i="28"/>
  <c r="G86" i="28" s="1"/>
  <c r="I89" i="25"/>
  <c r="I202" i="25"/>
  <c r="O660" i="18"/>
  <c r="B46" i="21"/>
  <c r="K46" i="21" s="1"/>
  <c r="B35" i="21"/>
  <c r="K35" i="21" s="1"/>
  <c r="B34" i="21"/>
  <c r="K34" i="21" s="1"/>
  <c r="B56" i="21"/>
  <c r="K56" i="21" s="1"/>
  <c r="F351" i="18" l="1"/>
  <c r="F35" i="20"/>
  <c r="C1164" i="18"/>
  <c r="D1164" i="18"/>
  <c r="D1153" i="18"/>
  <c r="E1153" i="18"/>
  <c r="C1153" i="18"/>
  <c r="H684" i="18"/>
  <c r="H685" i="18" s="1"/>
  <c r="D661" i="18"/>
  <c r="E661" i="18"/>
  <c r="F661" i="18"/>
  <c r="I625" i="18"/>
  <c r="I626" i="18" s="1"/>
  <c r="K625" i="18"/>
  <c r="K626" i="18" s="1"/>
  <c r="F701" i="18"/>
  <c r="E701" i="18"/>
  <c r="I685" i="18"/>
  <c r="G685" i="18"/>
  <c r="F685" i="18"/>
  <c r="E685" i="18"/>
  <c r="D685" i="18"/>
  <c r="O661" i="18"/>
  <c r="K661" i="18"/>
  <c r="I661" i="18"/>
  <c r="H661" i="18"/>
  <c r="J626" i="18"/>
  <c r="H626" i="18"/>
  <c r="G626" i="18"/>
  <c r="L625" i="18"/>
  <c r="L626" i="18" s="1"/>
  <c r="E626" i="18"/>
  <c r="D626" i="18"/>
  <c r="D1123" i="18"/>
  <c r="E1123" i="18"/>
  <c r="F1123" i="18"/>
  <c r="G1123" i="18"/>
  <c r="H1123" i="18"/>
  <c r="I1123" i="18"/>
  <c r="J1123" i="18"/>
  <c r="K1123" i="18"/>
  <c r="L1123" i="18"/>
  <c r="M1123" i="18"/>
  <c r="N1123" i="18"/>
  <c r="C1123" i="18"/>
  <c r="E1113" i="18"/>
  <c r="C1113" i="18"/>
  <c r="L51" i="18"/>
  <c r="L52" i="18" s="1"/>
  <c r="C26" i="27"/>
  <c r="C17" i="27"/>
  <c r="C5" i="27" l="1"/>
  <c r="Q28" i="27" s="1"/>
  <c r="R28" i="27" s="1"/>
  <c r="C5" i="29"/>
  <c r="Q28" i="29" s="1"/>
  <c r="R28" i="29" s="1"/>
  <c r="F874" i="18" s="1"/>
  <c r="F875" i="18" s="1"/>
  <c r="Z870" i="18" s="1"/>
  <c r="B6" i="27"/>
  <c r="B6" i="29"/>
  <c r="Q20" i="27"/>
  <c r="R20" i="27" s="1"/>
  <c r="Q20" i="29"/>
  <c r="C6" i="27"/>
  <c r="Q31" i="27" s="1"/>
  <c r="R31" i="27" s="1"/>
  <c r="C6" i="29"/>
  <c r="C26" i="29" s="1"/>
  <c r="C28" i="29" s="1"/>
  <c r="N51" i="18"/>
  <c r="N52" i="18" s="1"/>
  <c r="Z47" i="18" s="1"/>
  <c r="Z696" i="18"/>
  <c r="Z703" i="18" s="1"/>
  <c r="Z1148" i="18"/>
  <c r="Z1152" i="18" s="1"/>
  <c r="Z680" i="18"/>
  <c r="Z1118" i="18"/>
  <c r="K1050" i="18"/>
  <c r="J1050" i="18"/>
  <c r="I1050" i="18"/>
  <c r="G1050" i="18"/>
  <c r="F1050" i="18"/>
  <c r="E1050" i="18"/>
  <c r="D1050" i="18"/>
  <c r="C1050" i="18"/>
  <c r="H1050" i="18"/>
  <c r="J1040" i="18"/>
  <c r="I1040" i="18"/>
  <c r="G1040" i="18"/>
  <c r="F1040" i="18"/>
  <c r="E1040" i="18"/>
  <c r="D1040" i="18"/>
  <c r="C1040" i="18"/>
  <c r="O281" i="25"/>
  <c r="I1029" i="18"/>
  <c r="G1029" i="18"/>
  <c r="F1029" i="18"/>
  <c r="E1029" i="18"/>
  <c r="D1029" i="18"/>
  <c r="C1029" i="18"/>
  <c r="N1018" i="18"/>
  <c r="M1018" i="18"/>
  <c r="L1018" i="18"/>
  <c r="I1018" i="18"/>
  <c r="H1018" i="18"/>
  <c r="G1018" i="18"/>
  <c r="E1018" i="18"/>
  <c r="D1018" i="18"/>
  <c r="C1018" i="18"/>
  <c r="F1018" i="18"/>
  <c r="R20" i="29" l="1"/>
  <c r="F228" i="25"/>
  <c r="F166" i="31" s="1"/>
  <c r="G166" i="31" s="1"/>
  <c r="F220" i="25"/>
  <c r="F158" i="31" s="1"/>
  <c r="G158" i="31" s="1"/>
  <c r="F227" i="25"/>
  <c r="F165" i="31" s="1"/>
  <c r="G165" i="31" s="1"/>
  <c r="F226" i="25"/>
  <c r="F164" i="31" s="1"/>
  <c r="G164" i="31" s="1"/>
  <c r="F225" i="25"/>
  <c r="F163" i="31" s="1"/>
  <c r="G163" i="31" s="1"/>
  <c r="F224" i="25"/>
  <c r="F162" i="31" s="1"/>
  <c r="G162" i="31" s="1"/>
  <c r="F231" i="25"/>
  <c r="F169" i="31" s="1"/>
  <c r="G169" i="31" s="1"/>
  <c r="F223" i="25"/>
  <c r="F161" i="31" s="1"/>
  <c r="G161" i="31" s="1"/>
  <c r="F230" i="25"/>
  <c r="F168" i="31" s="1"/>
  <c r="G168" i="31" s="1"/>
  <c r="F222" i="25"/>
  <c r="F160" i="31" s="1"/>
  <c r="G160" i="31" s="1"/>
  <c r="F229" i="25"/>
  <c r="F167" i="31" s="1"/>
  <c r="G167" i="31" s="1"/>
  <c r="F221" i="25"/>
  <c r="F159" i="31" s="1"/>
  <c r="G159" i="31" s="1"/>
  <c r="I216" i="25"/>
  <c r="I214" i="25"/>
  <c r="I213" i="25"/>
  <c r="I218" i="25"/>
  <c r="I217" i="25"/>
  <c r="I215" i="25"/>
  <c r="I212" i="25"/>
  <c r="Z876" i="18"/>
  <c r="Z871" i="18"/>
  <c r="Z872" i="18"/>
  <c r="Z875" i="18"/>
  <c r="Z874" i="18"/>
  <c r="Z877" i="18"/>
  <c r="Z878" i="18"/>
  <c r="Z873" i="18"/>
  <c r="Q23" i="29"/>
  <c r="R23" i="29" s="1"/>
  <c r="C29" i="29"/>
  <c r="Q31" i="29"/>
  <c r="R31" i="29" s="1"/>
  <c r="Z51" i="18"/>
  <c r="Z54" i="18"/>
  <c r="Z53" i="18"/>
  <c r="Z50" i="18"/>
  <c r="Z49" i="18"/>
  <c r="Z48" i="18"/>
  <c r="Z55" i="18"/>
  <c r="Z52" i="18"/>
  <c r="I172" i="25"/>
  <c r="Z1155" i="18"/>
  <c r="Z1153" i="18"/>
  <c r="Z1150" i="18"/>
  <c r="Z1149" i="18"/>
  <c r="Z1156" i="18"/>
  <c r="Z1154" i="18"/>
  <c r="Z1151" i="18"/>
  <c r="K747" i="18"/>
  <c r="N660" i="18"/>
  <c r="N661" i="18" s="1"/>
  <c r="Z704" i="18"/>
  <c r="Z699" i="18"/>
  <c r="Z701" i="18"/>
  <c r="Z698" i="18"/>
  <c r="Z700" i="18"/>
  <c r="Z702" i="18"/>
  <c r="Z697" i="18"/>
  <c r="Z684" i="18"/>
  <c r="Z688" i="18"/>
  <c r="Z683" i="18"/>
  <c r="Z687" i="18"/>
  <c r="Z682" i="18"/>
  <c r="Z686" i="18"/>
  <c r="Z681" i="18"/>
  <c r="Z685" i="18"/>
  <c r="Z1124" i="18"/>
  <c r="Z1123" i="18"/>
  <c r="Z1121" i="18"/>
  <c r="Z1120" i="18"/>
  <c r="Z1119" i="18"/>
  <c r="Z1126" i="18"/>
  <c r="Z1125" i="18"/>
  <c r="Z1122" i="18"/>
  <c r="C27" i="27"/>
  <c r="C28" i="27" l="1"/>
  <c r="C29" i="27" s="1"/>
  <c r="L1059" i="18"/>
  <c r="L1060" i="18" s="1"/>
  <c r="N1059" i="18"/>
  <c r="N1060" i="18" s="1"/>
  <c r="O1059" i="18"/>
  <c r="O1060" i="18" s="1"/>
  <c r="N1049" i="18"/>
  <c r="N1050" i="18" s="1"/>
  <c r="O1049" i="18"/>
  <c r="L1049" i="18"/>
  <c r="F129" i="28"/>
  <c r="G129" i="28" s="1"/>
  <c r="I220" i="25"/>
  <c r="F137" i="28"/>
  <c r="G137" i="28" s="1"/>
  <c r="I228" i="25"/>
  <c r="F130" i="28"/>
  <c r="G130" i="28" s="1"/>
  <c r="I221" i="25"/>
  <c r="F138" i="28"/>
  <c r="G138" i="28" s="1"/>
  <c r="I229" i="25"/>
  <c r="F134" i="28"/>
  <c r="G134" i="28" s="1"/>
  <c r="I225" i="25"/>
  <c r="F131" i="28"/>
  <c r="G131" i="28" s="1"/>
  <c r="I222" i="25"/>
  <c r="F135" i="28"/>
  <c r="G135" i="28" s="1"/>
  <c r="I226" i="25"/>
  <c r="F139" i="28"/>
  <c r="G139" i="28" s="1"/>
  <c r="I230" i="25"/>
  <c r="F133" i="28"/>
  <c r="G133" i="28" s="1"/>
  <c r="I224" i="25"/>
  <c r="F132" i="28"/>
  <c r="G132" i="28" s="1"/>
  <c r="I223" i="25"/>
  <c r="F136" i="28"/>
  <c r="G136" i="28" s="1"/>
  <c r="I227" i="25"/>
  <c r="F140" i="28"/>
  <c r="G140" i="28" s="1"/>
  <c r="I231" i="25"/>
  <c r="C876" i="18"/>
  <c r="D890" i="18"/>
  <c r="D891" i="18" s="1"/>
  <c r="F890" i="18"/>
  <c r="J20" i="29" a="1"/>
  <c r="J20" i="29" s="1"/>
  <c r="K20" i="29" s="1"/>
  <c r="J21" i="29" a="1"/>
  <c r="J21" i="29" s="1"/>
  <c r="K21" i="29" s="1"/>
  <c r="J29" i="29" a="1"/>
  <c r="J29" i="29" s="1"/>
  <c r="K29" i="29" s="1"/>
  <c r="J30" i="29" a="1"/>
  <c r="J30" i="29" s="1"/>
  <c r="K30" i="29" s="1"/>
  <c r="C53" i="18"/>
  <c r="G660" i="18"/>
  <c r="G661" i="18" s="1"/>
  <c r="M660" i="18"/>
  <c r="M661" i="18" s="1"/>
  <c r="G747" i="18"/>
  <c r="J660" i="18"/>
  <c r="J661" i="18" s="1"/>
  <c r="C1154" i="18"/>
  <c r="C702" i="18"/>
  <c r="C686" i="18"/>
  <c r="C1124" i="18"/>
  <c r="J29" i="27" l="1" a="1"/>
  <c r="J29" i="27" s="1"/>
  <c r="K29" i="27" s="1"/>
  <c r="J30" i="27" a="1"/>
  <c r="J30" i="27" s="1"/>
  <c r="K30" i="27" s="1"/>
  <c r="F891" i="18"/>
  <c r="Z886" i="18" s="1"/>
  <c r="F62" i="25"/>
  <c r="F49" i="31" s="1"/>
  <c r="G49" i="31" s="1"/>
  <c r="K22" i="29"/>
  <c r="K24" i="29" s="1"/>
  <c r="L24" i="29" s="1"/>
  <c r="H1028" i="18" s="1"/>
  <c r="K31" i="29"/>
  <c r="K32" i="29" s="1"/>
  <c r="L32" i="29" s="1"/>
  <c r="D924" i="18" s="1"/>
  <c r="D925" i="18" s="1"/>
  <c r="O1050" i="18"/>
  <c r="F206" i="25"/>
  <c r="F148" i="31" s="1"/>
  <c r="G148" i="31" s="1"/>
  <c r="F159" i="25"/>
  <c r="F117" i="31" s="1"/>
  <c r="G117" i="31" s="1"/>
  <c r="O93" i="26"/>
  <c r="O94" i="26"/>
  <c r="O95" i="26"/>
  <c r="O96" i="26"/>
  <c r="O97" i="26"/>
  <c r="O98" i="26"/>
  <c r="O99" i="26"/>
  <c r="O100" i="26"/>
  <c r="O101" i="26"/>
  <c r="O102" i="26"/>
  <c r="O103" i="26"/>
  <c r="O104" i="26"/>
  <c r="O105" i="26"/>
  <c r="O106" i="26"/>
  <c r="O107" i="26"/>
  <c r="O108" i="26"/>
  <c r="O109" i="26"/>
  <c r="O110" i="26"/>
  <c r="O111" i="26"/>
  <c r="O112" i="26"/>
  <c r="O113" i="26"/>
  <c r="O114" i="26"/>
  <c r="O115" i="26"/>
  <c r="O116" i="26"/>
  <c r="O117" i="26"/>
  <c r="O118" i="26"/>
  <c r="O119" i="26"/>
  <c r="O120" i="26"/>
  <c r="O121" i="26"/>
  <c r="O122" i="26"/>
  <c r="O123" i="26"/>
  <c r="O92" i="26"/>
  <c r="P92" i="26"/>
  <c r="P93" i="26"/>
  <c r="P94" i="26"/>
  <c r="P95" i="26"/>
  <c r="P96" i="26"/>
  <c r="P97" i="26"/>
  <c r="P98" i="26"/>
  <c r="P99" i="26"/>
  <c r="P100" i="26"/>
  <c r="P101" i="26"/>
  <c r="P102" i="26"/>
  <c r="P103" i="26"/>
  <c r="P104" i="26"/>
  <c r="P105" i="26"/>
  <c r="P106" i="26"/>
  <c r="P107" i="26"/>
  <c r="P108" i="26"/>
  <c r="P109" i="26"/>
  <c r="P110" i="26"/>
  <c r="P111" i="26"/>
  <c r="P112" i="26"/>
  <c r="P113" i="26"/>
  <c r="P114" i="26"/>
  <c r="P115" i="26"/>
  <c r="P116" i="26"/>
  <c r="P117" i="26"/>
  <c r="P118" i="26"/>
  <c r="P119" i="26"/>
  <c r="P120" i="26"/>
  <c r="P121" i="26"/>
  <c r="P122" i="26"/>
  <c r="P123" i="26"/>
  <c r="K31" i="27" l="1"/>
  <c r="K33" i="27" s="1"/>
  <c r="L33" i="27" s="1"/>
  <c r="I808" i="18" s="1"/>
  <c r="I94" i="26"/>
  <c r="I95" i="26"/>
  <c r="D95" i="26"/>
  <c r="D98" i="26"/>
  <c r="I97" i="26"/>
  <c r="D99" i="26"/>
  <c r="D166" i="26" s="1"/>
  <c r="D96" i="26"/>
  <c r="D165" i="26" s="1"/>
  <c r="I103" i="26"/>
  <c r="D103" i="26"/>
  <c r="I106" i="26"/>
  <c r="D106" i="26"/>
  <c r="I108" i="26"/>
  <c r="D109" i="26"/>
  <c r="I110" i="26"/>
  <c r="D111" i="26"/>
  <c r="I114" i="26"/>
  <c r="D115" i="26"/>
  <c r="I112" i="26"/>
  <c r="D113" i="26"/>
  <c r="I115" i="26"/>
  <c r="D116" i="26"/>
  <c r="I116" i="26"/>
  <c r="D117" i="26"/>
  <c r="I117" i="26"/>
  <c r="D118" i="26"/>
  <c r="I118" i="26"/>
  <c r="D119" i="26"/>
  <c r="I126" i="26"/>
  <c r="D122" i="26"/>
  <c r="I120" i="26"/>
  <c r="I119" i="26"/>
  <c r="D123" i="26"/>
  <c r="D125" i="26"/>
  <c r="I121" i="26"/>
  <c r="I122" i="26"/>
  <c r="D126" i="26"/>
  <c r="I123" i="26"/>
  <c r="D127" i="26"/>
  <c r="D124" i="26"/>
  <c r="I124" i="26"/>
  <c r="D120" i="26"/>
  <c r="I125" i="26"/>
  <c r="I99" i="26"/>
  <c r="D164" i="26" s="1"/>
  <c r="D402" i="18" s="1"/>
  <c r="D121" i="26"/>
  <c r="I98" i="26"/>
  <c r="I96" i="26"/>
  <c r="I100" i="26"/>
  <c r="I107" i="26"/>
  <c r="I104" i="26"/>
  <c r="I101" i="26"/>
  <c r="I111" i="26"/>
  <c r="I113" i="26"/>
  <c r="I105" i="26"/>
  <c r="I109" i="26"/>
  <c r="I102" i="26"/>
  <c r="D105" i="26"/>
  <c r="D104" i="26"/>
  <c r="D112" i="26"/>
  <c r="D94" i="26"/>
  <c r="D114" i="26"/>
  <c r="D97" i="26"/>
  <c r="D107" i="26"/>
  <c r="D108" i="26"/>
  <c r="D100" i="26"/>
  <c r="D101" i="26"/>
  <c r="D102" i="26"/>
  <c r="D110" i="26"/>
  <c r="I206" i="25"/>
  <c r="F119" i="28"/>
  <c r="G119" i="28" s="1"/>
  <c r="I159" i="25"/>
  <c r="F88" i="28"/>
  <c r="G88" i="28" s="1"/>
  <c r="I62" i="25"/>
  <c r="F20" i="28"/>
  <c r="G20" i="28" s="1"/>
  <c r="Z888" i="18"/>
  <c r="Z890" i="18"/>
  <c r="Z891" i="18"/>
  <c r="Z892" i="18"/>
  <c r="Z894" i="18"/>
  <c r="Z887" i="18"/>
  <c r="Z889" i="18"/>
  <c r="Z893" i="18"/>
  <c r="K23" i="29"/>
  <c r="L23" i="29" s="1"/>
  <c r="K33" i="29"/>
  <c r="L33" i="29" s="1"/>
  <c r="K32" i="27" l="1"/>
  <c r="L32" i="27" s="1"/>
  <c r="H808" i="18" s="1"/>
  <c r="E924" i="18"/>
  <c r="E925" i="18" s="1"/>
  <c r="Z920" i="18" s="1"/>
  <c r="Z923" i="18" s="1"/>
  <c r="E900" i="18"/>
  <c r="E901" i="18" s="1"/>
  <c r="Z896" i="18" s="1"/>
  <c r="D137" i="26"/>
  <c r="D138" i="26"/>
  <c r="D139" i="26"/>
  <c r="D136" i="26"/>
  <c r="D135" i="26"/>
  <c r="C892" i="18"/>
  <c r="F189" i="25" s="1"/>
  <c r="F135" i="31" s="1"/>
  <c r="G135" i="31" s="1"/>
  <c r="K1173" i="18"/>
  <c r="K1174" i="18" s="1"/>
  <c r="Z1169" i="18" s="1"/>
  <c r="Z1175" i="18" s="1"/>
  <c r="D140" i="26"/>
  <c r="D134" i="26"/>
  <c r="D142" i="26"/>
  <c r="D141" i="26"/>
  <c r="D143" i="26"/>
  <c r="D162" i="26"/>
  <c r="H402" i="18" s="1"/>
  <c r="D145" i="26"/>
  <c r="D153" i="26"/>
  <c r="D149" i="26"/>
  <c r="D148" i="26"/>
  <c r="D160" i="26"/>
  <c r="F467" i="18" s="1"/>
  <c r="D159" i="26"/>
  <c r="D158" i="26"/>
  <c r="D152" i="26"/>
  <c r="D151" i="26"/>
  <c r="D150" i="26"/>
  <c r="D144" i="26"/>
  <c r="D161" i="26"/>
  <c r="D467" i="18" s="1"/>
  <c r="D155" i="26"/>
  <c r="D163" i="26"/>
  <c r="F402" i="18" s="1"/>
  <c r="D146" i="26"/>
  <c r="D154" i="26"/>
  <c r="D157" i="26"/>
  <c r="D156" i="26"/>
  <c r="D167" i="26"/>
  <c r="D391" i="18" s="1"/>
  <c r="D168" i="26"/>
  <c r="D147" i="26"/>
  <c r="Z927" i="18" l="1"/>
  <c r="Z925" i="18"/>
  <c r="Z924" i="18"/>
  <c r="Z926" i="18"/>
  <c r="Z921" i="18"/>
  <c r="Z922" i="18"/>
  <c r="Z928" i="18"/>
  <c r="Z902" i="18"/>
  <c r="Z900" i="18"/>
  <c r="Z897" i="18"/>
  <c r="Z898" i="18"/>
  <c r="Z904" i="18"/>
  <c r="Z903" i="18"/>
  <c r="Z901" i="18"/>
  <c r="Z899" i="18"/>
  <c r="I189" i="25"/>
  <c r="F106" i="28"/>
  <c r="G106" i="28" s="1"/>
  <c r="Z1173" i="18"/>
  <c r="Z1170" i="18"/>
  <c r="Z1174" i="18"/>
  <c r="Z1172" i="18"/>
  <c r="Z1171" i="18"/>
  <c r="Z1176" i="18"/>
  <c r="Z1177" i="18"/>
  <c r="F147" i="26"/>
  <c r="F447" i="18" s="1"/>
  <c r="C926" i="18" l="1"/>
  <c r="F192" i="25" s="1"/>
  <c r="C902" i="18"/>
  <c r="F190" i="25" s="1"/>
  <c r="F136" i="31" s="1"/>
  <c r="G136" i="31" s="1"/>
  <c r="C1175" i="18"/>
  <c r="F195" i="25" s="1"/>
  <c r="F140" i="31" s="1"/>
  <c r="G140" i="31" s="1"/>
  <c r="F487" i="18"/>
  <c r="H498" i="18"/>
  <c r="D487" i="18"/>
  <c r="H508" i="18"/>
  <c r="F498" i="18"/>
  <c r="J487" i="18"/>
  <c r="D498" i="18"/>
  <c r="H487" i="18"/>
  <c r="J498" i="18"/>
  <c r="I192" i="25" l="1"/>
  <c r="F138" i="31"/>
  <c r="G138" i="31" s="1"/>
  <c r="F109" i="28"/>
  <c r="G109" i="28" s="1"/>
  <c r="I190" i="25"/>
  <c r="F107" i="28"/>
  <c r="G107" i="28" s="1"/>
  <c r="I195" i="25"/>
  <c r="F111" i="28"/>
  <c r="G111" i="28" s="1"/>
  <c r="D371" i="18"/>
  <c r="R1006" i="18" l="1"/>
  <c r="Q1006" i="18"/>
  <c r="P1006" i="18"/>
  <c r="O1006" i="18"/>
  <c r="N1006" i="18"/>
  <c r="M1006" i="18"/>
  <c r="L1006" i="18"/>
  <c r="K1006" i="18"/>
  <c r="J1006" i="18"/>
  <c r="I1006" i="18"/>
  <c r="G1006" i="18"/>
  <c r="E1006" i="18"/>
  <c r="D1006" i="18"/>
  <c r="C1006" i="18"/>
  <c r="H1006" i="18"/>
  <c r="H381" i="18" l="1"/>
  <c r="J758" i="18"/>
  <c r="J32" i="18"/>
  <c r="D74" i="18"/>
  <c r="D477" i="18" l="1"/>
  <c r="D478" i="18" s="1"/>
  <c r="A246" i="21"/>
  <c r="C499" i="18"/>
  <c r="C488" i="18"/>
  <c r="D468" i="18"/>
  <c r="C458" i="18"/>
  <c r="C403" i="18"/>
  <c r="D425" i="18"/>
  <c r="D413" i="18"/>
  <c r="C414" i="18"/>
  <c r="C426" i="18"/>
  <c r="C448" i="18"/>
  <c r="H509" i="18"/>
  <c r="G509" i="18"/>
  <c r="F509" i="18"/>
  <c r="E509" i="18"/>
  <c r="D509" i="18"/>
  <c r="J499" i="18"/>
  <c r="I499" i="18"/>
  <c r="H499" i="18"/>
  <c r="G499" i="18"/>
  <c r="F499" i="18"/>
  <c r="E499" i="18"/>
  <c r="D499" i="18"/>
  <c r="G488" i="18"/>
  <c r="H488" i="18"/>
  <c r="I488" i="18"/>
  <c r="J488" i="18"/>
  <c r="F488" i="18"/>
  <c r="E488" i="18"/>
  <c r="D488" i="18"/>
  <c r="E478" i="18"/>
  <c r="F468" i="18"/>
  <c r="E468" i="18"/>
  <c r="K458" i="18"/>
  <c r="I458" i="18"/>
  <c r="G458" i="18"/>
  <c r="E458" i="18"/>
  <c r="D458" i="18"/>
  <c r="I448" i="18"/>
  <c r="I426" i="18"/>
  <c r="I414" i="18"/>
  <c r="D1080" i="18" l="1"/>
  <c r="D1081" i="18" s="1"/>
  <c r="Z1076" i="18" s="1"/>
  <c r="F39" i="21"/>
  <c r="F103" i="21"/>
  <c r="F77" i="21"/>
  <c r="F33" i="21"/>
  <c r="L661" i="18"/>
  <c r="Z656" i="18" s="1"/>
  <c r="C592" i="18"/>
  <c r="F97" i="21"/>
  <c r="F101" i="21"/>
  <c r="F95" i="21"/>
  <c r="F96" i="21"/>
  <c r="F98" i="21"/>
  <c r="D227" i="18" s="1"/>
  <c r="F94" i="21"/>
  <c r="F92" i="21"/>
  <c r="F91" i="21"/>
  <c r="F99" i="21"/>
  <c r="F227" i="18" s="1"/>
  <c r="F93" i="21"/>
  <c r="F102" i="21"/>
  <c r="D340" i="18" s="1"/>
  <c r="F100" i="21"/>
  <c r="H227" i="18" s="1"/>
  <c r="F76" i="21"/>
  <c r="F90" i="21"/>
  <c r="G267" i="18"/>
  <c r="F89" i="21"/>
  <c r="F87" i="21"/>
  <c r="G553" i="18" s="1"/>
  <c r="F85" i="21"/>
  <c r="F86" i="21"/>
  <c r="F257" i="18" s="1"/>
  <c r="F84" i="21"/>
  <c r="D1112" i="18" s="1"/>
  <c r="D1113" i="18" s="1"/>
  <c r="F88" i="21"/>
  <c r="F81" i="21"/>
  <c r="I570" i="18" s="1"/>
  <c r="F83" i="21"/>
  <c r="D1069" i="18" s="1"/>
  <c r="D1070" i="18" s="1"/>
  <c r="Z1065" i="18" s="1"/>
  <c r="F1163" i="18"/>
  <c r="F1164" i="18" s="1"/>
  <c r="Z1159" i="18" s="1"/>
  <c r="F37" i="21"/>
  <c r="D1102" i="18"/>
  <c r="D1103" i="18" s="1"/>
  <c r="Z1098" i="18" s="1"/>
  <c r="F1112" i="18"/>
  <c r="F1113" i="18" s="1"/>
  <c r="F63" i="21"/>
  <c r="F64" i="21"/>
  <c r="F24" i="21"/>
  <c r="F25" i="21"/>
  <c r="H413" i="18"/>
  <c r="H414" i="18" s="1"/>
  <c r="H425" i="18"/>
  <c r="H426" i="18" s="1"/>
  <c r="J447" i="18"/>
  <c r="J448" i="18" s="1"/>
  <c r="H447" i="18"/>
  <c r="H448" i="18" s="1"/>
  <c r="Z483" i="18"/>
  <c r="Z491" i="18" s="1"/>
  <c r="Z494" i="18"/>
  <c r="Z495" i="18" s="1"/>
  <c r="J413" i="18"/>
  <c r="J414" i="18" s="1"/>
  <c r="F413" i="18"/>
  <c r="F414" i="18" s="1"/>
  <c r="F448" i="18"/>
  <c r="D447" i="18"/>
  <c r="D448" i="18" s="1"/>
  <c r="F477" i="18"/>
  <c r="F478" i="18" s="1"/>
  <c r="Z473" i="18" s="1"/>
  <c r="Z481" i="18" s="1"/>
  <c r="H403" i="18"/>
  <c r="J425" i="18"/>
  <c r="J426" i="18" s="1"/>
  <c r="L457" i="18"/>
  <c r="L458" i="18" s="1"/>
  <c r="F425" i="18"/>
  <c r="F426" i="18" s="1"/>
  <c r="F457" i="18"/>
  <c r="F458" i="18" s="1"/>
  <c r="H457" i="18"/>
  <c r="H458" i="18" s="1"/>
  <c r="J457" i="18"/>
  <c r="J458" i="18" s="1"/>
  <c r="Z463" i="18"/>
  <c r="Z467" i="18" s="1"/>
  <c r="Z504" i="18"/>
  <c r="G448" i="18"/>
  <c r="E448" i="18"/>
  <c r="F437" i="18"/>
  <c r="E437" i="18"/>
  <c r="D437" i="18"/>
  <c r="G426" i="18"/>
  <c r="E426" i="18"/>
  <c r="D426" i="18"/>
  <c r="G414" i="18"/>
  <c r="E414" i="18"/>
  <c r="D414" i="18"/>
  <c r="G403" i="18"/>
  <c r="F403" i="18"/>
  <c r="E403" i="18"/>
  <c r="D403" i="18"/>
  <c r="D392" i="18"/>
  <c r="Z387" i="18" s="1"/>
  <c r="Z1066" i="18" l="1"/>
  <c r="Z1067" i="18"/>
  <c r="Z1070" i="18"/>
  <c r="Z1069" i="18"/>
  <c r="Z1073" i="18"/>
  <c r="Z1068" i="18"/>
  <c r="Z1071" i="18"/>
  <c r="Z1072" i="18"/>
  <c r="H351" i="18"/>
  <c r="J351" i="18"/>
  <c r="D351" i="18"/>
  <c r="D26" i="21"/>
  <c r="F26" i="21" s="1"/>
  <c r="F784" i="18"/>
  <c r="D198" i="18"/>
  <c r="E784" i="18"/>
  <c r="F1005" i="18" s="1"/>
  <c r="K74" i="18"/>
  <c r="F74" i="18"/>
  <c r="D136" i="18"/>
  <c r="Z658" i="18"/>
  <c r="Z659" i="18"/>
  <c r="Z660" i="18"/>
  <c r="Z664" i="18"/>
  <c r="Z657" i="18"/>
  <c r="Z663" i="18"/>
  <c r="Z661" i="18"/>
  <c r="Z662" i="18"/>
  <c r="Z1081" i="18"/>
  <c r="Z1082" i="18"/>
  <c r="Z1079" i="18"/>
  <c r="Z1083" i="18"/>
  <c r="Z1077" i="18"/>
  <c r="Z1078" i="18"/>
  <c r="Z1080" i="18"/>
  <c r="K913" i="18"/>
  <c r="K914" i="18" s="1"/>
  <c r="Z909" i="18" s="1"/>
  <c r="D217" i="18"/>
  <c r="D257" i="18"/>
  <c r="I556" i="18" a="1"/>
  <c r="I556" i="18" s="1"/>
  <c r="Z1108" i="18"/>
  <c r="Z1109" i="18" s="1"/>
  <c r="L797" i="18"/>
  <c r="Z1161" i="18"/>
  <c r="Z1160" i="18"/>
  <c r="Z1167" i="18"/>
  <c r="Z1163" i="18"/>
  <c r="Z1162" i="18"/>
  <c r="Z1164" i="18"/>
  <c r="Z1166" i="18"/>
  <c r="Z1165" i="18"/>
  <c r="Z1084" i="18"/>
  <c r="Z1104" i="18"/>
  <c r="Z1101" i="18"/>
  <c r="Z1103" i="18"/>
  <c r="Z1105" i="18"/>
  <c r="Z1099" i="18"/>
  <c r="Z1106" i="18"/>
  <c r="Z1102" i="18"/>
  <c r="Z1100" i="18"/>
  <c r="Z506" i="18"/>
  <c r="Z512" i="18"/>
  <c r="Z453" i="18"/>
  <c r="Z461" i="18" s="1"/>
  <c r="Z443" i="18"/>
  <c r="Z451" i="18" s="1"/>
  <c r="Z421" i="18"/>
  <c r="Z423" i="18" s="1"/>
  <c r="Z409" i="18"/>
  <c r="Z413" i="18" s="1"/>
  <c r="Z432" i="18"/>
  <c r="Z440" i="18" s="1"/>
  <c r="Z468" i="18"/>
  <c r="Z469" i="18"/>
  <c r="Z464" i="18"/>
  <c r="Z470" i="18"/>
  <c r="Z465" i="18"/>
  <c r="Z471" i="18"/>
  <c r="Z466" i="18"/>
  <c r="Z476" i="18"/>
  <c r="Z480" i="18"/>
  <c r="Z477" i="18"/>
  <c r="Z479" i="18"/>
  <c r="Z475" i="18"/>
  <c r="Z478" i="18"/>
  <c r="Z474" i="18"/>
  <c r="Z488" i="18"/>
  <c r="Z484" i="18"/>
  <c r="Z485" i="18"/>
  <c r="Z489" i="18"/>
  <c r="Z486" i="18"/>
  <c r="Z490" i="18"/>
  <c r="Z487" i="18"/>
  <c r="Z497" i="18"/>
  <c r="Z496" i="18"/>
  <c r="Z498" i="18"/>
  <c r="Z499" i="18"/>
  <c r="Z500" i="18"/>
  <c r="Z501" i="18"/>
  <c r="Z502" i="18"/>
  <c r="Z510" i="18"/>
  <c r="Z507" i="18"/>
  <c r="Z511" i="18"/>
  <c r="Z509" i="18"/>
  <c r="Z508" i="18"/>
  <c r="Z505" i="18"/>
  <c r="Z398" i="18"/>
  <c r="Z406" i="18" s="1"/>
  <c r="C1071" i="18" l="1"/>
  <c r="C662" i="18"/>
  <c r="I553" i="18"/>
  <c r="I554" i="18" s="1"/>
  <c r="C1082" i="18"/>
  <c r="Z913" i="18"/>
  <c r="Z914" i="18"/>
  <c r="Z916" i="18"/>
  <c r="Z915" i="18"/>
  <c r="Z911" i="18"/>
  <c r="Z910" i="18"/>
  <c r="Z917" i="18"/>
  <c r="Z912" i="18"/>
  <c r="F1006" i="18"/>
  <c r="Z1001" i="18" s="1"/>
  <c r="Z1113" i="18"/>
  <c r="Z1114" i="18"/>
  <c r="Z1110" i="18"/>
  <c r="Z1116" i="18"/>
  <c r="Z1112" i="18"/>
  <c r="Z1111" i="18"/>
  <c r="Z1115" i="18"/>
  <c r="C1165" i="18"/>
  <c r="C1104" i="18"/>
  <c r="Z456" i="18"/>
  <c r="Z457" i="18"/>
  <c r="Z460" i="18"/>
  <c r="Z454" i="18"/>
  <c r="Z455" i="18"/>
  <c r="Z458" i="18"/>
  <c r="Z459" i="18"/>
  <c r="Z434" i="18"/>
  <c r="Z436" i="18"/>
  <c r="Z438" i="18"/>
  <c r="Z437" i="18"/>
  <c r="Z435" i="18"/>
  <c r="Z433" i="18"/>
  <c r="Z439" i="18"/>
  <c r="C510" i="18"/>
  <c r="Z427" i="18"/>
  <c r="Z425" i="18"/>
  <c r="Z429" i="18"/>
  <c r="Z428" i="18"/>
  <c r="Z426" i="18"/>
  <c r="Z424" i="18"/>
  <c r="Z422" i="18"/>
  <c r="Z444" i="18"/>
  <c r="Z445" i="18"/>
  <c r="Z447" i="18"/>
  <c r="Z449" i="18"/>
  <c r="Z448" i="18"/>
  <c r="Z446" i="18"/>
  <c r="Z450" i="18"/>
  <c r="C469" i="18"/>
  <c r="C479" i="18"/>
  <c r="C489" i="18"/>
  <c r="C500" i="18"/>
  <c r="Z404" i="18"/>
  <c r="Z401" i="18"/>
  <c r="Z400" i="18"/>
  <c r="Z405" i="18"/>
  <c r="Z403" i="18"/>
  <c r="Z399" i="18"/>
  <c r="Z402" i="18"/>
  <c r="Z415" i="18"/>
  <c r="Z417" i="18"/>
  <c r="Z416" i="18"/>
  <c r="Z410" i="18"/>
  <c r="Z411" i="18"/>
  <c r="Z414" i="18"/>
  <c r="Z412" i="18"/>
  <c r="Z395" i="18"/>
  <c r="Z388" i="18"/>
  <c r="Z391" i="18"/>
  <c r="Z390" i="18"/>
  <c r="Z389" i="18"/>
  <c r="Z394" i="18"/>
  <c r="Z393" i="18"/>
  <c r="Z392" i="18"/>
  <c r="K972" i="18"/>
  <c r="L972" i="18"/>
  <c r="M972" i="18"/>
  <c r="N972" i="18"/>
  <c r="O972" i="18"/>
  <c r="P972" i="18"/>
  <c r="Q972" i="18"/>
  <c r="R972" i="18"/>
  <c r="S972" i="18"/>
  <c r="J972" i="18"/>
  <c r="D972" i="18"/>
  <c r="E972" i="18"/>
  <c r="F972" i="18"/>
  <c r="C972" i="18"/>
  <c r="I972" i="18"/>
  <c r="H972" i="18"/>
  <c r="G972" i="18"/>
  <c r="F148" i="25" l="1"/>
  <c r="F109" i="31" s="1"/>
  <c r="G109" i="31" s="1"/>
  <c r="Z1006" i="18"/>
  <c r="Z1005" i="18"/>
  <c r="Z1004" i="18"/>
  <c r="Z1003" i="18"/>
  <c r="Z1008" i="18"/>
  <c r="Z1002" i="18"/>
  <c r="Z1009" i="18"/>
  <c r="Z1007" i="18"/>
  <c r="C915" i="18"/>
  <c r="C1114" i="18"/>
  <c r="F169" i="25"/>
  <c r="F125" i="31" s="1"/>
  <c r="G125" i="31" s="1"/>
  <c r="F108" i="25"/>
  <c r="F94" i="31" s="1"/>
  <c r="G94" i="31" s="1"/>
  <c r="F107" i="25"/>
  <c r="F93" i="31" s="1"/>
  <c r="G93" i="31" s="1"/>
  <c r="F149" i="25"/>
  <c r="F110" i="31" s="1"/>
  <c r="G110" i="31" s="1"/>
  <c r="F106" i="25"/>
  <c r="F92" i="31" s="1"/>
  <c r="G92" i="31" s="1"/>
  <c r="F109" i="25"/>
  <c r="F95" i="31" s="1"/>
  <c r="G95" i="31" s="1"/>
  <c r="F151" i="25"/>
  <c r="F112" i="31" s="1"/>
  <c r="G112" i="31" s="1"/>
  <c r="F105" i="25"/>
  <c r="F91" i="31" s="1"/>
  <c r="G91" i="31" s="1"/>
  <c r="C459" i="18"/>
  <c r="Z967" i="18"/>
  <c r="C438" i="18"/>
  <c r="C415" i="18"/>
  <c r="C427" i="18"/>
  <c r="C449" i="18"/>
  <c r="C404" i="18"/>
  <c r="C393" i="18"/>
  <c r="F191" i="25" l="1"/>
  <c r="I149" i="25"/>
  <c r="F81" i="28"/>
  <c r="G81" i="28" s="1"/>
  <c r="I106" i="25"/>
  <c r="F63" i="28"/>
  <c r="G63" i="28" s="1"/>
  <c r="I108" i="25"/>
  <c r="F65" i="28"/>
  <c r="G65" i="28" s="1"/>
  <c r="I169" i="25"/>
  <c r="F96" i="28"/>
  <c r="G96" i="28" s="1"/>
  <c r="I107" i="25"/>
  <c r="F64" i="28"/>
  <c r="G64" i="28" s="1"/>
  <c r="I105" i="25"/>
  <c r="F62" i="28"/>
  <c r="G62" i="28" s="1"/>
  <c r="I148" i="25"/>
  <c r="F80" i="28"/>
  <c r="G80" i="28" s="1"/>
  <c r="I151" i="25"/>
  <c r="F83" i="28"/>
  <c r="G83" i="28" s="1"/>
  <c r="I109" i="25"/>
  <c r="F66" i="28"/>
  <c r="G66" i="28" s="1"/>
  <c r="C1007" i="18"/>
  <c r="F102" i="25"/>
  <c r="F88" i="31" s="1"/>
  <c r="G88" i="31" s="1"/>
  <c r="F152" i="25"/>
  <c r="F113" i="31" s="1"/>
  <c r="G113" i="31" s="1"/>
  <c r="F100" i="25"/>
  <c r="F86" i="31" s="1"/>
  <c r="G86" i="31" s="1"/>
  <c r="F99" i="25"/>
  <c r="F85" i="31" s="1"/>
  <c r="G85" i="31" s="1"/>
  <c r="F101" i="25"/>
  <c r="F87" i="31" s="1"/>
  <c r="G87" i="31" s="1"/>
  <c r="F104" i="25"/>
  <c r="F90" i="31" s="1"/>
  <c r="G90" i="31" s="1"/>
  <c r="F103" i="25"/>
  <c r="F89" i="31" s="1"/>
  <c r="G89" i="31" s="1"/>
  <c r="F98" i="25"/>
  <c r="F84" i="31" s="1"/>
  <c r="G84" i="31" s="1"/>
  <c r="Z975" i="18"/>
  <c r="Z969" i="18"/>
  <c r="Z974" i="18"/>
  <c r="Z968" i="18"/>
  <c r="Z971" i="18"/>
  <c r="Z973" i="18"/>
  <c r="Z972" i="18"/>
  <c r="Z970" i="18"/>
  <c r="I191" i="25" l="1"/>
  <c r="F137" i="31"/>
  <c r="G137" i="31" s="1"/>
  <c r="F108" i="28"/>
  <c r="G108" i="28" s="1"/>
  <c r="I99" i="25"/>
  <c r="F56" i="28"/>
  <c r="G56" i="28" s="1"/>
  <c r="I100" i="25"/>
  <c r="F57" i="28"/>
  <c r="G57" i="28" s="1"/>
  <c r="I101" i="25"/>
  <c r="F58" i="28"/>
  <c r="G58" i="28" s="1"/>
  <c r="I98" i="25"/>
  <c r="F55" i="28"/>
  <c r="G55" i="28" s="1"/>
  <c r="I102" i="25"/>
  <c r="F59" i="28"/>
  <c r="G59" i="28" s="1"/>
  <c r="I103" i="25"/>
  <c r="F60" i="28"/>
  <c r="G60" i="28" s="1"/>
  <c r="I152" i="25"/>
  <c r="F84" i="28"/>
  <c r="G84" i="28" s="1"/>
  <c r="I104" i="25"/>
  <c r="F61" i="28"/>
  <c r="G61" i="28" s="1"/>
  <c r="F271" i="25"/>
  <c r="F191" i="31" s="1"/>
  <c r="G191" i="31" s="1"/>
  <c r="F272" i="25"/>
  <c r="F192" i="31" s="1"/>
  <c r="G192" i="31" s="1"/>
  <c r="F270" i="25"/>
  <c r="F190" i="31" s="1"/>
  <c r="G190" i="31" s="1"/>
  <c r="C973" i="18"/>
  <c r="I270" i="25" l="1"/>
  <c r="F161" i="28"/>
  <c r="G161" i="28" s="1"/>
  <c r="I272" i="25"/>
  <c r="F163" i="28"/>
  <c r="G163" i="28" s="1"/>
  <c r="I271" i="25"/>
  <c r="F162" i="28"/>
  <c r="G162" i="28" s="1"/>
  <c r="D74" i="25"/>
  <c r="D73" i="25"/>
  <c r="D72" i="25"/>
  <c r="D71" i="25"/>
  <c r="D70" i="25"/>
  <c r="D69" i="25"/>
  <c r="E808" i="18"/>
  <c r="E809" i="18" s="1"/>
  <c r="I809" i="18"/>
  <c r="H809" i="18"/>
  <c r="G809" i="18"/>
  <c r="F809" i="18"/>
  <c r="D809" i="18"/>
  <c r="E307" i="18"/>
  <c r="F307" i="18"/>
  <c r="C307" i="18"/>
  <c r="F278" i="18"/>
  <c r="C278" i="18"/>
  <c r="D67" i="25"/>
  <c r="D66" i="25"/>
  <c r="H382" i="18"/>
  <c r="G382" i="18"/>
  <c r="E382" i="18"/>
  <c r="C382" i="18"/>
  <c r="D372" i="18"/>
  <c r="P372" i="18"/>
  <c r="O372" i="18"/>
  <c r="N372" i="18"/>
  <c r="M372" i="18"/>
  <c r="L372" i="18"/>
  <c r="K372" i="18"/>
  <c r="J372" i="18"/>
  <c r="I372" i="18"/>
  <c r="H372" i="18"/>
  <c r="G372" i="18"/>
  <c r="F372" i="18"/>
  <c r="E372" i="18"/>
  <c r="C372" i="18"/>
  <c r="D60" i="25"/>
  <c r="D362" i="18"/>
  <c r="K362" i="18"/>
  <c r="I362" i="18"/>
  <c r="H362" i="18"/>
  <c r="J362" i="18"/>
  <c r="F362" i="18"/>
  <c r="E362" i="18"/>
  <c r="C362" i="18"/>
  <c r="G362" i="18"/>
  <c r="E31" i="28" l="1"/>
  <c r="E60" i="31"/>
  <c r="E30" i="28"/>
  <c r="E59" i="31"/>
  <c r="E27" i="28"/>
  <c r="E56" i="31"/>
  <c r="E24" i="28"/>
  <c r="E53" i="31"/>
  <c r="E19" i="28"/>
  <c r="E48" i="31"/>
  <c r="E26" i="28"/>
  <c r="E55" i="31"/>
  <c r="E28" i="28"/>
  <c r="E57" i="31"/>
  <c r="E23" i="28"/>
  <c r="E52" i="31"/>
  <c r="E29" i="28"/>
  <c r="E58" i="31"/>
  <c r="Z804" i="18"/>
  <c r="Z812" i="18" s="1"/>
  <c r="Z367" i="18"/>
  <c r="Z369" i="18" s="1"/>
  <c r="Z357" i="18"/>
  <c r="Z365" i="18" s="1"/>
  <c r="Z809" i="18" l="1"/>
  <c r="Z808" i="18"/>
  <c r="Z807" i="18"/>
  <c r="Z810" i="18"/>
  <c r="Z805" i="18"/>
  <c r="Z811" i="18"/>
  <c r="Z806" i="18"/>
  <c r="Z370" i="18"/>
  <c r="Z371" i="18"/>
  <c r="Z372" i="18"/>
  <c r="Z375" i="18"/>
  <c r="Z373" i="18"/>
  <c r="Z368" i="18"/>
  <c r="Z374" i="18"/>
  <c r="Z358" i="18"/>
  <c r="Z361" i="18"/>
  <c r="Z363" i="18"/>
  <c r="Z362" i="18"/>
  <c r="Z360" i="18"/>
  <c r="Z359" i="18"/>
  <c r="Z364" i="18"/>
  <c r="C810" i="18" l="1"/>
  <c r="F188" i="25" s="1"/>
  <c r="C373" i="18"/>
  <c r="C363" i="18"/>
  <c r="F105" i="28" l="1"/>
  <c r="G105" i="28" s="1"/>
  <c r="F134" i="31"/>
  <c r="G134" i="31" s="1"/>
  <c r="D320" i="18"/>
  <c r="C322" i="18" s="1"/>
  <c r="F60" i="25"/>
  <c r="F48" i="31" s="1"/>
  <c r="G48" i="31" s="1"/>
  <c r="I188" i="25"/>
  <c r="F66" i="25"/>
  <c r="F52" i="31" s="1"/>
  <c r="G52" i="31" s="1"/>
  <c r="I60" i="25" l="1"/>
  <c r="F19" i="28"/>
  <c r="G19" i="28" s="1"/>
  <c r="I66" i="25"/>
  <c r="F23" i="28"/>
  <c r="G23" i="28" s="1"/>
  <c r="F74" i="25"/>
  <c r="F60" i="31" s="1"/>
  <c r="G60" i="31" s="1"/>
  <c r="I104" i="18"/>
  <c r="D119" i="25"/>
  <c r="I352" i="18"/>
  <c r="E352" i="18"/>
  <c r="G352" i="18"/>
  <c r="D352" i="18"/>
  <c r="F352" i="18"/>
  <c r="H352" i="18"/>
  <c r="J352" i="18"/>
  <c r="K352" i="18"/>
  <c r="C352" i="18"/>
  <c r="E73" i="28" l="1"/>
  <c r="E102" i="31"/>
  <c r="I74" i="25"/>
  <c r="F31" i="28"/>
  <c r="G31" i="28" s="1"/>
  <c r="Z347" i="18"/>
  <c r="Z353" i="18" s="1"/>
  <c r="D93" i="25"/>
  <c r="D92" i="25"/>
  <c r="D341" i="18"/>
  <c r="C341" i="18"/>
  <c r="I331" i="18"/>
  <c r="G331" i="18"/>
  <c r="F331" i="18"/>
  <c r="D331" i="18"/>
  <c r="C331" i="18"/>
  <c r="E331" i="18"/>
  <c r="K84" i="18"/>
  <c r="I84" i="18"/>
  <c r="E50" i="28" l="1"/>
  <c r="E79" i="31"/>
  <c r="E49" i="28"/>
  <c r="E78" i="31"/>
  <c r="Z349" i="18"/>
  <c r="Z354" i="18"/>
  <c r="Z351" i="18"/>
  <c r="Z355" i="18"/>
  <c r="Z352" i="18"/>
  <c r="Z348" i="18"/>
  <c r="Z350" i="18"/>
  <c r="C353" i="18" l="1"/>
  <c r="F119" i="25" l="1"/>
  <c r="F102" i="31" s="1"/>
  <c r="G102" i="31" s="1"/>
  <c r="D68" i="25"/>
  <c r="F268" i="18"/>
  <c r="D268" i="18"/>
  <c r="C268" i="18"/>
  <c r="D64" i="25"/>
  <c r="E42" i="18"/>
  <c r="C42" i="18"/>
  <c r="F42" i="18"/>
  <c r="C33" i="18"/>
  <c r="D59" i="25"/>
  <c r="F33" i="18"/>
  <c r="E33" i="18"/>
  <c r="S32" i="18"/>
  <c r="S33" i="18" s="1"/>
  <c r="T32" i="18"/>
  <c r="T33" i="18" s="1"/>
  <c r="X33" i="18"/>
  <c r="D33" i="18"/>
  <c r="H33" i="18"/>
  <c r="I33" i="18"/>
  <c r="J33" i="18"/>
  <c r="L33" i="18"/>
  <c r="N33" i="18"/>
  <c r="O33" i="18"/>
  <c r="Q33" i="18"/>
  <c r="R33" i="18"/>
  <c r="U33" i="18"/>
  <c r="V33" i="18"/>
  <c r="W33" i="18"/>
  <c r="P33" i="18"/>
  <c r="M33" i="18"/>
  <c r="K33" i="18"/>
  <c r="G33" i="18"/>
  <c r="E18" i="28" l="1"/>
  <c r="E47" i="31"/>
  <c r="E21" i="28"/>
  <c r="E50" i="31"/>
  <c r="E25" i="28"/>
  <c r="E54" i="31"/>
  <c r="I119" i="25"/>
  <c r="F73" i="28"/>
  <c r="G73" i="28" s="1"/>
  <c r="Z27" i="18"/>
  <c r="Z28" i="18" s="1"/>
  <c r="H995" i="18"/>
  <c r="G994" i="18"/>
  <c r="E995" i="18"/>
  <c r="D995" i="18"/>
  <c r="C995" i="18"/>
  <c r="F995" i="18"/>
  <c r="G84" i="18" s="1"/>
  <c r="M712" i="18"/>
  <c r="L712" i="18"/>
  <c r="F712" i="18"/>
  <c r="J712" i="18"/>
  <c r="Z33" i="18" l="1"/>
  <c r="Z35" i="18"/>
  <c r="Z34" i="18"/>
  <c r="Z31" i="18"/>
  <c r="Z32" i="18"/>
  <c r="Z30" i="18"/>
  <c r="Z29" i="18"/>
  <c r="Z990" i="18"/>
  <c r="C34" i="18" l="1"/>
  <c r="Z993" i="18"/>
  <c r="Z991" i="18"/>
  <c r="Z994" i="18"/>
  <c r="Z996" i="18"/>
  <c r="Z995" i="18"/>
  <c r="Z992" i="18"/>
  <c r="Z998" i="18"/>
  <c r="Z997" i="18"/>
  <c r="F59" i="25" l="1"/>
  <c r="F47" i="31" s="1"/>
  <c r="G47" i="31" s="1"/>
  <c r="C996" i="18"/>
  <c r="I59" i="25" l="1"/>
  <c r="F18" i="28"/>
  <c r="G18" i="28" s="1"/>
  <c r="D91" i="25"/>
  <c r="D90" i="25"/>
  <c r="D88" i="25"/>
  <c r="D87" i="25"/>
  <c r="D86" i="25"/>
  <c r="D84" i="25"/>
  <c r="D83" i="25"/>
  <c r="D82" i="25"/>
  <c r="D81" i="25"/>
  <c r="D80" i="25"/>
  <c r="D79" i="25"/>
  <c r="D78" i="25"/>
  <c r="D77" i="25"/>
  <c r="D76" i="25"/>
  <c r="D75" i="25"/>
  <c r="D96" i="25"/>
  <c r="D94" i="25"/>
  <c r="D95" i="25"/>
  <c r="D167" i="25"/>
  <c r="D166" i="25"/>
  <c r="D165" i="25"/>
  <c r="D164" i="25"/>
  <c r="D163" i="25"/>
  <c r="D162" i="25"/>
  <c r="D161" i="25"/>
  <c r="D144" i="25"/>
  <c r="D199" i="18"/>
  <c r="M785" i="18"/>
  <c r="N785" i="18"/>
  <c r="O785" i="18"/>
  <c r="L798" i="18"/>
  <c r="K798" i="18"/>
  <c r="J798" i="18"/>
  <c r="I798" i="18"/>
  <c r="H798" i="18"/>
  <c r="G798" i="18"/>
  <c r="F798" i="18"/>
  <c r="E798" i="18"/>
  <c r="D798" i="18"/>
  <c r="E258" i="18"/>
  <c r="E188" i="18"/>
  <c r="E228" i="18"/>
  <c r="E208" i="18"/>
  <c r="D258" i="18"/>
  <c r="C258" i="18"/>
  <c r="F258" i="18"/>
  <c r="C248" i="18"/>
  <c r="H228" i="18"/>
  <c r="D228" i="18"/>
  <c r="C228" i="18"/>
  <c r="F228" i="18"/>
  <c r="D218" i="18"/>
  <c r="I208" i="18"/>
  <c r="G208" i="18"/>
  <c r="C208" i="18"/>
  <c r="I199" i="18"/>
  <c r="G199" i="18"/>
  <c r="C199" i="18"/>
  <c r="E53" i="28" l="1"/>
  <c r="E82" i="31"/>
  <c r="E93" i="28"/>
  <c r="E122" i="31"/>
  <c r="E34" i="28"/>
  <c r="E63" i="31"/>
  <c r="E43" i="28"/>
  <c r="E72" i="31"/>
  <c r="E94" i="28"/>
  <c r="E123" i="31"/>
  <c r="E35" i="28"/>
  <c r="E64" i="31"/>
  <c r="E44" i="28"/>
  <c r="E73" i="31"/>
  <c r="E39" i="28"/>
  <c r="E68" i="31"/>
  <c r="E41" i="28"/>
  <c r="E70" i="31"/>
  <c r="E36" i="28"/>
  <c r="E65" i="31"/>
  <c r="E45" i="28"/>
  <c r="E74" i="31"/>
  <c r="E90" i="28"/>
  <c r="E119" i="31"/>
  <c r="E95" i="28"/>
  <c r="E124" i="31"/>
  <c r="E77" i="28"/>
  <c r="E106" i="31"/>
  <c r="E52" i="28"/>
  <c r="E81" i="31"/>
  <c r="E37" i="28"/>
  <c r="E66" i="31"/>
  <c r="E47" i="28"/>
  <c r="E76" i="31"/>
  <c r="E92" i="28"/>
  <c r="E121" i="31"/>
  <c r="E33" i="28"/>
  <c r="E62" i="31"/>
  <c r="E89" i="28"/>
  <c r="E118" i="31"/>
  <c r="E51" i="28"/>
  <c r="E80" i="31"/>
  <c r="E38" i="28"/>
  <c r="E67" i="31"/>
  <c r="E48" i="28"/>
  <c r="E77" i="31"/>
  <c r="E91" i="28"/>
  <c r="E120" i="31"/>
  <c r="E32" i="28"/>
  <c r="E61" i="31"/>
  <c r="E40" i="28"/>
  <c r="E69" i="31"/>
  <c r="Z793" i="18"/>
  <c r="Z801" i="18" s="1"/>
  <c r="Z223" i="18"/>
  <c r="Z231" i="18" s="1"/>
  <c r="Z253" i="18"/>
  <c r="Z257" i="18" s="1"/>
  <c r="I188" i="18"/>
  <c r="G188" i="18"/>
  <c r="C188" i="18"/>
  <c r="E178" i="18"/>
  <c r="E168" i="18"/>
  <c r="C168" i="18"/>
  <c r="F168" i="18"/>
  <c r="D168" i="18"/>
  <c r="I158" i="18"/>
  <c r="G158" i="18"/>
  <c r="E158" i="18"/>
  <c r="C158" i="18"/>
  <c r="I148" i="18"/>
  <c r="G148" i="18"/>
  <c r="E148" i="18"/>
  <c r="C148" i="18"/>
  <c r="F125" i="18"/>
  <c r="D125" i="18"/>
  <c r="Z800" i="18" l="1"/>
  <c r="Z795" i="18"/>
  <c r="Z796" i="18"/>
  <c r="Z797" i="18"/>
  <c r="Z798" i="18"/>
  <c r="Z799" i="18"/>
  <c r="Z794" i="18"/>
  <c r="Z258" i="18"/>
  <c r="Z261" i="18"/>
  <c r="Z255" i="18"/>
  <c r="Z260" i="18"/>
  <c r="Z259" i="18"/>
  <c r="Z254" i="18"/>
  <c r="Z256" i="18"/>
  <c r="Z224" i="18"/>
  <c r="Z230" i="18"/>
  <c r="Z229" i="18"/>
  <c r="Z228" i="18"/>
  <c r="Z227" i="18"/>
  <c r="Z226" i="18"/>
  <c r="Z225" i="18"/>
  <c r="C799" i="18" l="1"/>
  <c r="F187" i="25" s="1"/>
  <c r="C229" i="18"/>
  <c r="C259" i="18"/>
  <c r="F104" i="28" l="1"/>
  <c r="G104" i="28" s="1"/>
  <c r="F133" i="31"/>
  <c r="G133" i="31" s="1"/>
  <c r="D313" i="18"/>
  <c r="F88" i="25"/>
  <c r="F74" i="31" s="1"/>
  <c r="G74" i="31" s="1"/>
  <c r="F91" i="25"/>
  <c r="F77" i="31" s="1"/>
  <c r="G77" i="31" s="1"/>
  <c r="I187" i="25"/>
  <c r="I91" i="25" l="1"/>
  <c r="F48" i="28"/>
  <c r="G48" i="28" s="1"/>
  <c r="I88" i="25"/>
  <c r="F45" i="28"/>
  <c r="G45" i="28" s="1"/>
  <c r="G137" i="18"/>
  <c r="E137" i="18"/>
  <c r="C137" i="18"/>
  <c r="D137" i="18"/>
  <c r="I126" i="18"/>
  <c r="G126" i="18"/>
  <c r="E126" i="18"/>
  <c r="C126" i="18"/>
  <c r="G115" i="18"/>
  <c r="E115" i="18"/>
  <c r="I274" i="21" l="1"/>
  <c r="J276" i="21"/>
  <c r="G104" i="18"/>
  <c r="E104" i="18"/>
  <c r="C104" i="18"/>
  <c r="C961" i="18"/>
  <c r="H961" i="18"/>
  <c r="G961" i="18"/>
  <c r="F961" i="18"/>
  <c r="E961" i="18"/>
  <c r="D961" i="18"/>
  <c r="I961" i="18"/>
  <c r="L785" i="18"/>
  <c r="K785" i="18"/>
  <c r="J785" i="18"/>
  <c r="H785" i="18"/>
  <c r="G785" i="18"/>
  <c r="F785" i="18"/>
  <c r="E785" i="18"/>
  <c r="D785" i="18"/>
  <c r="L775" i="18"/>
  <c r="K775" i="18"/>
  <c r="I775" i="18"/>
  <c r="H775" i="18"/>
  <c r="G775" i="18"/>
  <c r="F775" i="18"/>
  <c r="E775" i="18"/>
  <c r="D775" i="18"/>
  <c r="J775" i="18"/>
  <c r="J759" i="18"/>
  <c r="L759" i="18"/>
  <c r="I759" i="18"/>
  <c r="H759" i="18"/>
  <c r="F759" i="18"/>
  <c r="E759" i="18"/>
  <c r="D759" i="18"/>
  <c r="K759" i="18"/>
  <c r="G759" i="18"/>
  <c r="G748" i="18"/>
  <c r="K748" i="18"/>
  <c r="I748" i="18"/>
  <c r="H748" i="18"/>
  <c r="D748" i="18"/>
  <c r="L748" i="18"/>
  <c r="J748" i="18"/>
  <c r="F748" i="18"/>
  <c r="E748" i="18"/>
  <c r="M713" i="18"/>
  <c r="K713" i="18"/>
  <c r="Z743" i="18" l="1"/>
  <c r="Z751" i="18" s="1"/>
  <c r="Z770" i="18"/>
  <c r="Z754" i="18"/>
  <c r="H713" i="18"/>
  <c r="I713" i="18"/>
  <c r="D713" i="18"/>
  <c r="F615" i="18"/>
  <c r="E615" i="18"/>
  <c r="C615" i="18"/>
  <c r="E604" i="18"/>
  <c r="F604" i="18"/>
  <c r="G604" i="18"/>
  <c r="C604" i="18"/>
  <c r="I604" i="18"/>
  <c r="H604" i="18"/>
  <c r="D604" i="18"/>
  <c r="I582" i="18"/>
  <c r="G582" i="18"/>
  <c r="E582" i="18"/>
  <c r="C582" i="18"/>
  <c r="C593" i="18"/>
  <c r="G593" i="18"/>
  <c r="E593" i="18"/>
  <c r="I571" i="18"/>
  <c r="F571" i="18"/>
  <c r="C571" i="18"/>
  <c r="H571" i="18"/>
  <c r="G554" i="18"/>
  <c r="E554" i="18"/>
  <c r="C554" i="18"/>
  <c r="J554" i="18"/>
  <c r="F554" i="18"/>
  <c r="D554" i="18"/>
  <c r="I532" i="18"/>
  <c r="G532" i="18"/>
  <c r="E532" i="18"/>
  <c r="C532" i="18"/>
  <c r="I521" i="18"/>
  <c r="G521" i="18"/>
  <c r="E521" i="18"/>
  <c r="C521" i="18"/>
  <c r="F95" i="18"/>
  <c r="E95" i="18"/>
  <c r="D95" i="18"/>
  <c r="K85" i="18"/>
  <c r="I85" i="18"/>
  <c r="H85" i="18"/>
  <c r="G85" i="18"/>
  <c r="F85" i="18"/>
  <c r="E85" i="18"/>
  <c r="D85" i="18"/>
  <c r="C85" i="18"/>
  <c r="J85" i="18"/>
  <c r="C75" i="18"/>
  <c r="H75" i="18"/>
  <c r="G75" i="18"/>
  <c r="F75" i="18"/>
  <c r="E75" i="18"/>
  <c r="D75" i="18"/>
  <c r="I75" i="18"/>
  <c r="K75" i="18"/>
  <c r="J75" i="18"/>
  <c r="Z90" i="18" l="1"/>
  <c r="Z778" i="18"/>
  <c r="Z777" i="18"/>
  <c r="Z776" i="18"/>
  <c r="Z775" i="18"/>
  <c r="Z774" i="18"/>
  <c r="Z773" i="18"/>
  <c r="Z771" i="18"/>
  <c r="Z772" i="18"/>
  <c r="Z761" i="18"/>
  <c r="Z757" i="18"/>
  <c r="Z760" i="18"/>
  <c r="Z756" i="18"/>
  <c r="Z755" i="18"/>
  <c r="Z762" i="18"/>
  <c r="Z759" i="18"/>
  <c r="Z758" i="18"/>
  <c r="Z599" i="18"/>
  <c r="Z746" i="18"/>
  <c r="Z748" i="18"/>
  <c r="Z745" i="18"/>
  <c r="Z747" i="18"/>
  <c r="Z744" i="18"/>
  <c r="Z750" i="18"/>
  <c r="Z749" i="18"/>
  <c r="Z80" i="18"/>
  <c r="Z70" i="18"/>
  <c r="G82" i="21"/>
  <c r="B273" i="21"/>
  <c r="B272" i="21"/>
  <c r="G274" i="21"/>
  <c r="C274" i="21"/>
  <c r="D274" i="21"/>
  <c r="E274" i="21" l="1"/>
  <c r="C776" i="18"/>
  <c r="C760" i="18"/>
  <c r="C749" i="18"/>
  <c r="Z607" i="18"/>
  <c r="Z602" i="18"/>
  <c r="Z606" i="18"/>
  <c r="Z601" i="18"/>
  <c r="Z605" i="18"/>
  <c r="Z600" i="18"/>
  <c r="Z604" i="18"/>
  <c r="Z603" i="18"/>
  <c r="Z98" i="18"/>
  <c r="Z96" i="18"/>
  <c r="Z91" i="18"/>
  <c r="Z95" i="18"/>
  <c r="Z94" i="18"/>
  <c r="Z93" i="18"/>
  <c r="Z97" i="18"/>
  <c r="Z92" i="18"/>
  <c r="Z88" i="18"/>
  <c r="Z83" i="18"/>
  <c r="Z86" i="18"/>
  <c r="Z81" i="18"/>
  <c r="Z82" i="18"/>
  <c r="Z85" i="18"/>
  <c r="Z84" i="18"/>
  <c r="Z87" i="18"/>
  <c r="F185" i="25" l="1"/>
  <c r="F131" i="31" s="1"/>
  <c r="G131" i="31" s="1"/>
  <c r="D297" i="18"/>
  <c r="C297" i="18"/>
  <c r="F184" i="25"/>
  <c r="D288" i="18"/>
  <c r="F183" i="25"/>
  <c r="C605" i="18"/>
  <c r="C96" i="18"/>
  <c r="C86" i="18"/>
  <c r="I185" i="25" l="1"/>
  <c r="F102" i="28"/>
  <c r="G102" i="28" s="1"/>
  <c r="F100" i="28"/>
  <c r="G100" i="28" s="1"/>
  <c r="F129" i="31"/>
  <c r="G129" i="31" s="1"/>
  <c r="F101" i="28"/>
  <c r="G101" i="28" s="1"/>
  <c r="F130" i="31"/>
  <c r="G130" i="31" s="1"/>
  <c r="I184" i="25"/>
  <c r="I183" i="25"/>
  <c r="F167" i="25"/>
  <c r="F124" i="31" s="1"/>
  <c r="G124" i="31" s="1"/>
  <c r="F95" i="25"/>
  <c r="F81" i="31" s="1"/>
  <c r="G81" i="31" s="1"/>
  <c r="F96" i="25"/>
  <c r="F82" i="31" s="1"/>
  <c r="G82" i="31" s="1"/>
  <c r="C299" i="18"/>
  <c r="D267" i="21"/>
  <c r="E267" i="21"/>
  <c r="F267" i="21"/>
  <c r="G47" i="21" s="1"/>
  <c r="G267" i="21"/>
  <c r="H267" i="21"/>
  <c r="I267" i="21"/>
  <c r="I95" i="25" l="1"/>
  <c r="F52" i="28"/>
  <c r="G52" i="28" s="1"/>
  <c r="I167" i="25"/>
  <c r="F95" i="28"/>
  <c r="G95" i="28" s="1"/>
  <c r="I96" i="25"/>
  <c r="F53" i="28"/>
  <c r="G53" i="28" s="1"/>
  <c r="F71" i="25"/>
  <c r="F57" i="31" s="1"/>
  <c r="G57" i="31" s="1"/>
  <c r="G44" i="20"/>
  <c r="G45" i="20"/>
  <c r="I71" i="25" l="1"/>
  <c r="F28" i="28"/>
  <c r="G28" i="28" s="1"/>
  <c r="I258" i="21"/>
  <c r="H258" i="21"/>
  <c r="G258" i="21"/>
  <c r="F258" i="21"/>
  <c r="G39" i="21" s="1"/>
  <c r="E258" i="21"/>
  <c r="D258" i="21"/>
  <c r="C278" i="21" l="1"/>
  <c r="M88" i="20"/>
  <c r="L88" i="20"/>
  <c r="Z78" i="18" l="1"/>
  <c r="Z75" i="18"/>
  <c r="Z73" i="18"/>
  <c r="Z77" i="18"/>
  <c r="Z72" i="18"/>
  <c r="Z76" i="18"/>
  <c r="Z71" i="18"/>
  <c r="Z74" i="18"/>
  <c r="L713" i="18" l="1"/>
  <c r="F713" i="18"/>
  <c r="J713" i="18"/>
  <c r="C76" i="18"/>
  <c r="F94" i="25" l="1"/>
  <c r="F80" i="31" s="1"/>
  <c r="G80" i="31" s="1"/>
  <c r="F45" i="21"/>
  <c r="D306" i="18" s="1"/>
  <c r="I94" i="25" l="1"/>
  <c r="F51" i="28"/>
  <c r="G51" i="28" s="1"/>
  <c r="F80" i="21"/>
  <c r="D277" i="18" s="1"/>
  <c r="G268" i="18"/>
  <c r="F79" i="21"/>
  <c r="F381" i="18" s="1"/>
  <c r="F382" i="18" s="1"/>
  <c r="F78" i="21"/>
  <c r="D381" i="18" s="1"/>
  <c r="D382" i="18" s="1"/>
  <c r="E340" i="18"/>
  <c r="E341" i="18" s="1"/>
  <c r="Z336" i="18" s="1"/>
  <c r="F44" i="21"/>
  <c r="F61" i="21"/>
  <c r="F60" i="21"/>
  <c r="F51" i="21"/>
  <c r="F52" i="21"/>
  <c r="E570" i="18" s="1"/>
  <c r="F55" i="21"/>
  <c r="F62" i="21"/>
  <c r="I785" i="18" s="1"/>
  <c r="Z780" i="18" s="1"/>
  <c r="F53" i="21"/>
  <c r="D581" i="18" s="1"/>
  <c r="E247" i="18"/>
  <c r="E248" i="18" s="1"/>
  <c r="Z243" i="18" s="1"/>
  <c r="F75" i="21"/>
  <c r="F57" i="21"/>
  <c r="F67" i="21"/>
  <c r="J198" i="18" s="1"/>
  <c r="F68" i="21"/>
  <c r="F69" i="21"/>
  <c r="H207" i="18" s="1"/>
  <c r="H208" i="18" s="1"/>
  <c r="F65" i="21"/>
  <c r="F198" i="18" s="1"/>
  <c r="F199" i="18" s="1"/>
  <c r="F66" i="21"/>
  <c r="F59" i="21"/>
  <c r="F56" i="21"/>
  <c r="F58" i="21"/>
  <c r="D157" i="18" s="1"/>
  <c r="F177" i="18" s="1"/>
  <c r="F178" i="18" s="1"/>
  <c r="F49" i="21"/>
  <c r="J531" i="18" s="1"/>
  <c r="F50" i="21"/>
  <c r="H531" i="18" s="1"/>
  <c r="F36" i="21"/>
  <c r="F43" i="21"/>
  <c r="F29" i="21"/>
  <c r="D147" i="18" s="1"/>
  <c r="F82" i="21"/>
  <c r="F30" i="21"/>
  <c r="G712" i="18" s="1"/>
  <c r="F46" i="21"/>
  <c r="E54" i="21" s="1"/>
  <c r="F531" i="18"/>
  <c r="F41" i="21"/>
  <c r="F35" i="21"/>
  <c r="J125" i="18" s="1"/>
  <c r="F31" i="21"/>
  <c r="F40" i="21"/>
  <c r="F48" i="21"/>
  <c r="E47" i="21" s="1"/>
  <c r="F34" i="21"/>
  <c r="D520" i="18" s="1"/>
  <c r="F28" i="21"/>
  <c r="J147" i="18" s="1"/>
  <c r="N270" i="21"/>
  <c r="N269" i="21" s="1"/>
  <c r="J270" i="21"/>
  <c r="J269" i="21" s="1"/>
  <c r="F268" i="21"/>
  <c r="M270" i="21"/>
  <c r="M269" i="21" s="1"/>
  <c r="I268" i="21"/>
  <c r="E268" i="21"/>
  <c r="L270" i="21"/>
  <c r="L269" i="21" s="1"/>
  <c r="H268" i="21"/>
  <c r="D268" i="21"/>
  <c r="K270" i="21"/>
  <c r="K269" i="21" s="1"/>
  <c r="G268" i="21"/>
  <c r="J253" i="21"/>
  <c r="M253" i="21"/>
  <c r="N253" i="21"/>
  <c r="K253" i="21"/>
  <c r="L253" i="21"/>
  <c r="K255" i="21"/>
  <c r="L254" i="21"/>
  <c r="N255" i="21"/>
  <c r="J255" i="21"/>
  <c r="M254" i="21"/>
  <c r="M255" i="21"/>
  <c r="J254" i="21"/>
  <c r="N254" i="21"/>
  <c r="L255" i="21"/>
  <c r="K254" i="21"/>
  <c r="D247" i="21"/>
  <c r="D251" i="21"/>
  <c r="E251" i="21"/>
  <c r="F251" i="21"/>
  <c r="I248" i="21"/>
  <c r="E248" i="21"/>
  <c r="G247" i="21"/>
  <c r="H248" i="21"/>
  <c r="D248" i="21"/>
  <c r="I247" i="21"/>
  <c r="H251" i="21"/>
  <c r="G248" i="21"/>
  <c r="E247" i="21"/>
  <c r="H247" i="21"/>
  <c r="I251" i="21"/>
  <c r="F248" i="21"/>
  <c r="F247" i="21"/>
  <c r="G251" i="21"/>
  <c r="H249" i="21"/>
  <c r="I250" i="21"/>
  <c r="F250" i="21"/>
  <c r="F249" i="21"/>
  <c r="G250" i="21"/>
  <c r="G249" i="21"/>
  <c r="I249" i="21"/>
  <c r="F252" i="21"/>
  <c r="I252" i="21"/>
  <c r="I253" i="21" s="1"/>
  <c r="E252" i="21"/>
  <c r="E253" i="21" s="1"/>
  <c r="H252" i="21"/>
  <c r="H253" i="21" s="1"/>
  <c r="D252" i="21"/>
  <c r="D253" i="21" s="1"/>
  <c r="G252" i="21"/>
  <c r="G253" i="21" s="1"/>
  <c r="N266" i="21"/>
  <c r="J266" i="21"/>
  <c r="M266" i="21"/>
  <c r="L266" i="21"/>
  <c r="K266" i="21"/>
  <c r="H257" i="21"/>
  <c r="D257" i="21"/>
  <c r="G257" i="21"/>
  <c r="F257" i="21"/>
  <c r="I257" i="21"/>
  <c r="E257" i="21"/>
  <c r="F266" i="21"/>
  <c r="D264" i="21"/>
  <c r="H264" i="21"/>
  <c r="D260" i="21"/>
  <c r="D263" i="21" s="1"/>
  <c r="H260" i="21"/>
  <c r="H263" i="21" s="1"/>
  <c r="G259" i="21"/>
  <c r="H255" i="21"/>
  <c r="D255" i="21"/>
  <c r="F254" i="21"/>
  <c r="E250" i="21"/>
  <c r="H266" i="21"/>
  <c r="F264" i="21"/>
  <c r="I259" i="21"/>
  <c r="E259" i="21"/>
  <c r="F255" i="21"/>
  <c r="D254" i="21"/>
  <c r="D249" i="21"/>
  <c r="E266" i="21"/>
  <c r="G264" i="21"/>
  <c r="H259" i="21"/>
  <c r="I255" i="21"/>
  <c r="G254" i="21"/>
  <c r="D250" i="21"/>
  <c r="H250" i="21"/>
  <c r="G266" i="21"/>
  <c r="E264" i="21"/>
  <c r="I264" i="21"/>
  <c r="E260" i="21"/>
  <c r="E263" i="21" s="1"/>
  <c r="I260" i="21"/>
  <c r="I263" i="21" s="1"/>
  <c r="F259" i="21"/>
  <c r="G40" i="21" s="1"/>
  <c r="G255" i="21"/>
  <c r="I254" i="21"/>
  <c r="E254" i="21"/>
  <c r="E249" i="21"/>
  <c r="D266" i="21"/>
  <c r="F260" i="21"/>
  <c r="H254" i="21"/>
  <c r="I266" i="21"/>
  <c r="G260" i="21"/>
  <c r="G263" i="21" s="1"/>
  <c r="D259" i="21"/>
  <c r="E255" i="21"/>
  <c r="J268" i="21"/>
  <c r="K259" i="21"/>
  <c r="L268" i="21"/>
  <c r="M259" i="21"/>
  <c r="K268" i="21"/>
  <c r="L259" i="21"/>
  <c r="N268" i="21"/>
  <c r="J259" i="21"/>
  <c r="M268" i="21"/>
  <c r="N259" i="21"/>
  <c r="N257" i="21"/>
  <c r="K250" i="21"/>
  <c r="J261" i="21"/>
  <c r="L249" i="21"/>
  <c r="M257" i="21"/>
  <c r="N256" i="21"/>
  <c r="M251" i="21"/>
  <c r="J250" i="21"/>
  <c r="M256" i="21"/>
  <c r="L251" i="21"/>
  <c r="K265" i="21"/>
  <c r="L261" i="21"/>
  <c r="N249" i="21"/>
  <c r="J249" i="21"/>
  <c r="K257" i="21"/>
  <c r="L256" i="21"/>
  <c r="N252" i="21"/>
  <c r="J252" i="21"/>
  <c r="K251" i="21"/>
  <c r="L250" i="21"/>
  <c r="N265" i="21"/>
  <c r="J265" i="21"/>
  <c r="K261" i="21"/>
  <c r="M249" i="21"/>
  <c r="J257" i="21"/>
  <c r="K256" i="21"/>
  <c r="M252" i="21"/>
  <c r="N251" i="21"/>
  <c r="J251" i="21"/>
  <c r="M265" i="21"/>
  <c r="N261" i="21"/>
  <c r="J256" i="21"/>
  <c r="L252" i="21"/>
  <c r="N250" i="21"/>
  <c r="L265" i="21"/>
  <c r="M261" i="21"/>
  <c r="K249" i="21"/>
  <c r="L257" i="21"/>
  <c r="K252" i="21"/>
  <c r="M250" i="21"/>
  <c r="H125" i="18" l="1"/>
  <c r="D27" i="21"/>
  <c r="F27" i="21" s="1"/>
  <c r="F157" i="18"/>
  <c r="D177" i="18" s="1"/>
  <c r="D178" i="18" s="1"/>
  <c r="Z173" i="18" s="1"/>
  <c r="Z177" i="18" s="1"/>
  <c r="H167" i="18"/>
  <c r="H168" i="18" s="1"/>
  <c r="Z163" i="18" s="1"/>
  <c r="J581" i="18"/>
  <c r="J582" i="18" s="1"/>
  <c r="E42" i="21"/>
  <c r="H157" i="18"/>
  <c r="H158" i="18" s="1"/>
  <c r="H136" i="18"/>
  <c r="H137" i="18" s="1"/>
  <c r="H532" i="18"/>
  <c r="F114" i="18"/>
  <c r="F115" i="18" s="1"/>
  <c r="E32" i="21"/>
  <c r="E38" i="21"/>
  <c r="E70" i="21"/>
  <c r="E71" i="21"/>
  <c r="G570" i="18"/>
  <c r="G571" i="18" s="1"/>
  <c r="F625" i="18"/>
  <c r="F626" i="18" s="1"/>
  <c r="Z621" i="18" s="1"/>
  <c r="Z628" i="18" s="1"/>
  <c r="D103" i="18"/>
  <c r="D104" i="18" s="1"/>
  <c r="H330" i="18"/>
  <c r="H331" i="18" s="1"/>
  <c r="J330" i="18"/>
  <c r="J331" i="18" s="1"/>
  <c r="D114" i="18"/>
  <c r="D115" i="18" s="1"/>
  <c r="J157" i="18"/>
  <c r="J158" i="18" s="1"/>
  <c r="J532" i="18"/>
  <c r="F136" i="18"/>
  <c r="F137" i="18" s="1"/>
  <c r="G41" i="18"/>
  <c r="G42" i="18" s="1"/>
  <c r="F217" i="18"/>
  <c r="F218" i="18" s="1"/>
  <c r="Z213" i="18" s="1"/>
  <c r="J960" i="18"/>
  <c r="J961" i="18" s="1"/>
  <c r="D41" i="18"/>
  <c r="D42" i="18" s="1"/>
  <c r="F147" i="18"/>
  <c r="F148" i="18" s="1"/>
  <c r="D570" i="18"/>
  <c r="D571" i="18" s="1"/>
  <c r="H592" i="18"/>
  <c r="H593" i="18" s="1"/>
  <c r="G32" i="21"/>
  <c r="J103" i="18"/>
  <c r="J104" i="18" s="1"/>
  <c r="F520" i="18"/>
  <c r="F521" i="18" s="1"/>
  <c r="D148" i="18"/>
  <c r="F592" i="18"/>
  <c r="F593" i="18" s="1"/>
  <c r="J148" i="18"/>
  <c r="H520" i="18"/>
  <c r="H521" i="18" s="1"/>
  <c r="F581" i="18"/>
  <c r="F582" i="18" s="1"/>
  <c r="E712" i="18"/>
  <c r="E713" i="18" s="1"/>
  <c r="G713" i="18"/>
  <c r="H187" i="18"/>
  <c r="H188" i="18" s="1"/>
  <c r="E571" i="18"/>
  <c r="J520" i="18"/>
  <c r="J521" i="18" s="1"/>
  <c r="D531" i="18"/>
  <c r="D532" i="18" s="1"/>
  <c r="H581" i="18"/>
  <c r="H582" i="18" s="1"/>
  <c r="G38" i="21"/>
  <c r="G29" i="21"/>
  <c r="G43" i="21"/>
  <c r="G48" i="21"/>
  <c r="G30" i="21"/>
  <c r="G31" i="21"/>
  <c r="G35" i="21"/>
  <c r="G46" i="21"/>
  <c r="G36" i="21"/>
  <c r="G28" i="21"/>
  <c r="D307" i="18"/>
  <c r="Z302" i="18" s="1"/>
  <c r="D278" i="18"/>
  <c r="Z273" i="18" s="1"/>
  <c r="Z377" i="18"/>
  <c r="F207" i="18"/>
  <c r="F208" i="18" s="1"/>
  <c r="D582" i="18"/>
  <c r="J199" i="18"/>
  <c r="J126" i="18"/>
  <c r="H147" i="18"/>
  <c r="H148" i="18" s="1"/>
  <c r="D521" i="18"/>
  <c r="F103" i="18"/>
  <c r="F104" i="18" s="1"/>
  <c r="F532" i="18"/>
  <c r="F74" i="21"/>
  <c r="J207" i="18" s="1"/>
  <c r="J208" i="18" s="1"/>
  <c r="Z251" i="18"/>
  <c r="Z247" i="18"/>
  <c r="Z246" i="18"/>
  <c r="Z245" i="18"/>
  <c r="Z244" i="18"/>
  <c r="Z250" i="18"/>
  <c r="Z249" i="18"/>
  <c r="Z248" i="18"/>
  <c r="H198" i="18"/>
  <c r="H199" i="18" s="1"/>
  <c r="D158" i="18"/>
  <c r="F126" i="18"/>
  <c r="Z788" i="18"/>
  <c r="Z787" i="18"/>
  <c r="Z782" i="18"/>
  <c r="Z786" i="18"/>
  <c r="Z784" i="18"/>
  <c r="Z783" i="18"/>
  <c r="Z781" i="18"/>
  <c r="Z785" i="18"/>
  <c r="D126" i="18"/>
  <c r="F263" i="21"/>
  <c r="G42" i="21" s="1"/>
  <c r="G41" i="21"/>
  <c r="F253" i="21"/>
  <c r="G34" i="21" s="1"/>
  <c r="G33" i="21"/>
  <c r="F158" i="18" l="1"/>
  <c r="Z153" i="18" s="1"/>
  <c r="Z158" i="18" s="1"/>
  <c r="F42" i="21"/>
  <c r="H553" i="18" s="1"/>
  <c r="H554" i="18" s="1"/>
  <c r="F54" i="21"/>
  <c r="Z175" i="18"/>
  <c r="Z176" i="18"/>
  <c r="Z178" i="18"/>
  <c r="Z181" i="18"/>
  <c r="Z174" i="18"/>
  <c r="Z326" i="18"/>
  <c r="Z331" i="18" s="1"/>
  <c r="Z180" i="18"/>
  <c r="Z179" i="18"/>
  <c r="Z622" i="18"/>
  <c r="Z629" i="18"/>
  <c r="Z623" i="18"/>
  <c r="Z626" i="18"/>
  <c r="Z624" i="18"/>
  <c r="Z625" i="18"/>
  <c r="Z627" i="18"/>
  <c r="Z171" i="18"/>
  <c r="Z170" i="18"/>
  <c r="Z166" i="18"/>
  <c r="Z165" i="18"/>
  <c r="Z169" i="18"/>
  <c r="Z164" i="18"/>
  <c r="Z168" i="18"/>
  <c r="Z167" i="18"/>
  <c r="Z216" i="18"/>
  <c r="Z215" i="18"/>
  <c r="Z221" i="18"/>
  <c r="Z214" i="18"/>
  <c r="Z217" i="18"/>
  <c r="Z219" i="18"/>
  <c r="Z220" i="18"/>
  <c r="Z218" i="18"/>
  <c r="Z566" i="18"/>
  <c r="Z570" i="18" s="1"/>
  <c r="Z275" i="18"/>
  <c r="Z278" i="18"/>
  <c r="Z276" i="18"/>
  <c r="Z274" i="18"/>
  <c r="Z280" i="18"/>
  <c r="Z281" i="18"/>
  <c r="Z279" i="18"/>
  <c r="Z277" i="18"/>
  <c r="Z307" i="18"/>
  <c r="Z303" i="18"/>
  <c r="Z310" i="18"/>
  <c r="Z306" i="18"/>
  <c r="Z309" i="18"/>
  <c r="Z308" i="18"/>
  <c r="Z305" i="18"/>
  <c r="Z304" i="18"/>
  <c r="Z383" i="18"/>
  <c r="Z378" i="18"/>
  <c r="Z381" i="18"/>
  <c r="Z385" i="18"/>
  <c r="Z384" i="18"/>
  <c r="Z380" i="18"/>
  <c r="Z382" i="18"/>
  <c r="Z379" i="18"/>
  <c r="Z37" i="18"/>
  <c r="Z194" i="18"/>
  <c r="Z202" i="18" s="1"/>
  <c r="Z342" i="18"/>
  <c r="Z343" i="18"/>
  <c r="Z337" i="18"/>
  <c r="Z340" i="18"/>
  <c r="Z339" i="18"/>
  <c r="Z344" i="18"/>
  <c r="Z338" i="18"/>
  <c r="Z341" i="18"/>
  <c r="C249" i="18"/>
  <c r="F70" i="21"/>
  <c r="D187" i="18" s="1"/>
  <c r="D188" i="18" s="1"/>
  <c r="F71" i="21"/>
  <c r="F187" i="18" s="1"/>
  <c r="F188" i="18" s="1"/>
  <c r="F38" i="21"/>
  <c r="K553" i="18" s="1"/>
  <c r="Z132" i="18"/>
  <c r="Z138" i="18" s="1"/>
  <c r="Z527" i="18"/>
  <c r="Z533" i="18" s="1"/>
  <c r="Z143" i="18"/>
  <c r="Z577" i="18"/>
  <c r="Z583" i="18" s="1"/>
  <c r="F32" i="21"/>
  <c r="D592" i="18" s="1"/>
  <c r="Z708" i="18"/>
  <c r="Z712" i="18" s="1"/>
  <c r="H126" i="18"/>
  <c r="Z121" i="18" s="1"/>
  <c r="C786" i="18"/>
  <c r="F186" i="25" s="1"/>
  <c r="Z516" i="18"/>
  <c r="F103" i="28" l="1"/>
  <c r="G103" i="28" s="1"/>
  <c r="F132" i="31"/>
  <c r="G132" i="31" s="1"/>
  <c r="E267" i="18"/>
  <c r="E268" i="18" s="1"/>
  <c r="Z263" i="18" s="1"/>
  <c r="Z270" i="18" s="1"/>
  <c r="D1091" i="18"/>
  <c r="D1092" i="18" s="1"/>
  <c r="Z1087" i="18" s="1"/>
  <c r="Z333" i="18"/>
  <c r="Z332" i="18"/>
  <c r="Z330" i="18"/>
  <c r="C179" i="18"/>
  <c r="F82" i="25" s="1"/>
  <c r="F68" i="31" s="1"/>
  <c r="G68" i="31" s="1"/>
  <c r="Z334" i="18"/>
  <c r="Z329" i="18"/>
  <c r="Z328" i="18"/>
  <c r="Z327" i="18"/>
  <c r="C627" i="18"/>
  <c r="C169" i="18"/>
  <c r="F72" i="21"/>
  <c r="D237" i="18"/>
  <c r="D238" i="18" s="1"/>
  <c r="Z233" i="18" s="1"/>
  <c r="C313" i="18"/>
  <c r="C315" i="18" s="1"/>
  <c r="C219" i="18"/>
  <c r="F90" i="25"/>
  <c r="F76" i="31" s="1"/>
  <c r="G76" i="31" s="1"/>
  <c r="Z568" i="18"/>
  <c r="Z567" i="18"/>
  <c r="Z569" i="18"/>
  <c r="Z571" i="18"/>
  <c r="Z574" i="18"/>
  <c r="Z572" i="18"/>
  <c r="Z573" i="18"/>
  <c r="K554" i="18"/>
  <c r="I186" i="25"/>
  <c r="C279" i="18"/>
  <c r="C308" i="18"/>
  <c r="C383" i="18"/>
  <c r="Z198" i="18"/>
  <c r="Z195" i="18"/>
  <c r="Z201" i="18"/>
  <c r="Z200" i="18"/>
  <c r="Z197" i="18"/>
  <c r="Z199" i="18"/>
  <c r="Z196" i="18"/>
  <c r="C342" i="18"/>
  <c r="Z44" i="18"/>
  <c r="Z41" i="18"/>
  <c r="Z38" i="18"/>
  <c r="Z39" i="18"/>
  <c r="Z42" i="18"/>
  <c r="Z43" i="18"/>
  <c r="Z45" i="18"/>
  <c r="Z40" i="18"/>
  <c r="Z157" i="18"/>
  <c r="Z160" i="18"/>
  <c r="Z154" i="18"/>
  <c r="Z156" i="18"/>
  <c r="Z161" i="18"/>
  <c r="Z155" i="18"/>
  <c r="Z159" i="18"/>
  <c r="J187" i="18"/>
  <c r="J188" i="18" s="1"/>
  <c r="Z183" i="18" s="1"/>
  <c r="Z532" i="18"/>
  <c r="Z136" i="18"/>
  <c r="Z140" i="18"/>
  <c r="Z135" i="18"/>
  <c r="Z535" i="18"/>
  <c r="Z531" i="18"/>
  <c r="Z133" i="18"/>
  <c r="Z534" i="18"/>
  <c r="Z139" i="18"/>
  <c r="Z134" i="18"/>
  <c r="Z137" i="18"/>
  <c r="Z579" i="18"/>
  <c r="Z528" i="18"/>
  <c r="Z529" i="18"/>
  <c r="H114" i="18"/>
  <c r="H115" i="18" s="1"/>
  <c r="Z110" i="18" s="1"/>
  <c r="Z530" i="18"/>
  <c r="Z585" i="18"/>
  <c r="Z149" i="18"/>
  <c r="Z151" i="18"/>
  <c r="Z150" i="18"/>
  <c r="Z145" i="18"/>
  <c r="Z147" i="18"/>
  <c r="Z148" i="18"/>
  <c r="Z146" i="18"/>
  <c r="Z144" i="18"/>
  <c r="Z584" i="18"/>
  <c r="Z582" i="18"/>
  <c r="Z580" i="18"/>
  <c r="Z709" i="18"/>
  <c r="Z578" i="18"/>
  <c r="Z581" i="18"/>
  <c r="Z711" i="18"/>
  <c r="D593" i="18"/>
  <c r="Z588" i="18" s="1"/>
  <c r="Z716" i="18"/>
  <c r="Z715" i="18"/>
  <c r="Z710" i="18"/>
  <c r="Z713" i="18"/>
  <c r="Z714" i="18"/>
  <c r="Z123" i="18"/>
  <c r="Z125" i="18"/>
  <c r="Z122" i="18"/>
  <c r="Z126" i="18"/>
  <c r="Z127" i="18"/>
  <c r="Z129" i="18"/>
  <c r="Z128" i="18"/>
  <c r="Z124" i="18"/>
  <c r="Z524" i="18"/>
  <c r="Z521" i="18"/>
  <c r="Z522" i="18"/>
  <c r="Z518" i="18"/>
  <c r="Z519" i="18"/>
  <c r="Z520" i="18"/>
  <c r="Z523" i="18"/>
  <c r="Z517" i="18"/>
  <c r="Z271" i="18" l="1"/>
  <c r="Z268" i="18"/>
  <c r="Z267" i="18"/>
  <c r="Z264" i="18"/>
  <c r="Z266" i="18"/>
  <c r="Z265" i="18"/>
  <c r="Z269" i="18"/>
  <c r="I90" i="25"/>
  <c r="F47" i="28"/>
  <c r="G47" i="28" s="1"/>
  <c r="I82" i="25"/>
  <c r="F39" i="28"/>
  <c r="G39" i="28" s="1"/>
  <c r="C332" i="18"/>
  <c r="Z239" i="18"/>
  <c r="Z237" i="18"/>
  <c r="Z238" i="18"/>
  <c r="Z236" i="18"/>
  <c r="Z235" i="18"/>
  <c r="Z241" i="18"/>
  <c r="Z234" i="18"/>
  <c r="Z240" i="18"/>
  <c r="F81" i="25"/>
  <c r="F67" i="31" s="1"/>
  <c r="G67" i="31" s="1"/>
  <c r="Z549" i="18"/>
  <c r="F87" i="25"/>
  <c r="F73" i="31" s="1"/>
  <c r="G73" i="31" s="1"/>
  <c r="F69" i="25"/>
  <c r="F55" i="31" s="1"/>
  <c r="G55" i="31" s="1"/>
  <c r="F73" i="25"/>
  <c r="F59" i="31" s="1"/>
  <c r="G59" i="31" s="1"/>
  <c r="F93" i="25"/>
  <c r="F79" i="31" s="1"/>
  <c r="G79" i="31" s="1"/>
  <c r="F67" i="25"/>
  <c r="F53" i="31" s="1"/>
  <c r="G53" i="31" s="1"/>
  <c r="F72" i="25"/>
  <c r="F58" i="31" s="1"/>
  <c r="G58" i="31" s="1"/>
  <c r="C572" i="18"/>
  <c r="Z1090" i="18"/>
  <c r="Z1091" i="18"/>
  <c r="Z1088" i="18"/>
  <c r="Z1092" i="18"/>
  <c r="Z1095" i="18"/>
  <c r="Z1089" i="18"/>
  <c r="Z1094" i="18"/>
  <c r="Z1093" i="18"/>
  <c r="F73" i="21"/>
  <c r="C200" i="18"/>
  <c r="C43" i="18"/>
  <c r="C159" i="18"/>
  <c r="Z189" i="18"/>
  <c r="Z184" i="18"/>
  <c r="Z187" i="18"/>
  <c r="Z191" i="18"/>
  <c r="Z188" i="18"/>
  <c r="Z190" i="18"/>
  <c r="Z185" i="18"/>
  <c r="Z186" i="18"/>
  <c r="C138" i="18"/>
  <c r="C533" i="18"/>
  <c r="C149" i="18"/>
  <c r="Z114" i="18"/>
  <c r="Z111" i="18"/>
  <c r="Z118" i="18"/>
  <c r="Z116" i="18"/>
  <c r="Z113" i="18"/>
  <c r="Z112" i="18"/>
  <c r="Z115" i="18"/>
  <c r="Z117" i="18"/>
  <c r="C583" i="18"/>
  <c r="Z596" i="18"/>
  <c r="Z593" i="18"/>
  <c r="Z595" i="18"/>
  <c r="Z589" i="18"/>
  <c r="Z592" i="18"/>
  <c r="Z591" i="18"/>
  <c r="Z594" i="18"/>
  <c r="Z590" i="18"/>
  <c r="C714" i="18"/>
  <c r="C127" i="18"/>
  <c r="C522" i="18"/>
  <c r="C269" i="18" l="1"/>
  <c r="F68" i="25" s="1"/>
  <c r="F54" i="31" s="1"/>
  <c r="G54" i="31" s="1"/>
  <c r="C288" i="18"/>
  <c r="C290" i="18" s="1"/>
  <c r="F182" i="25"/>
  <c r="I69" i="25"/>
  <c r="F26" i="28"/>
  <c r="G26" i="28" s="1"/>
  <c r="I87" i="25"/>
  <c r="F44" i="28"/>
  <c r="G44" i="28" s="1"/>
  <c r="I72" i="25"/>
  <c r="F29" i="28"/>
  <c r="G29" i="28" s="1"/>
  <c r="I67" i="25"/>
  <c r="F24" i="28"/>
  <c r="G24" i="28" s="1"/>
  <c r="I81" i="25"/>
  <c r="F38" i="28"/>
  <c r="G38" i="28" s="1"/>
  <c r="I73" i="25"/>
  <c r="F30" i="28"/>
  <c r="G30" i="28" s="1"/>
  <c r="I93" i="25"/>
  <c r="F50" i="28"/>
  <c r="G50" i="28" s="1"/>
  <c r="F92" i="25"/>
  <c r="F78" i="31" s="1"/>
  <c r="G78" i="31" s="1"/>
  <c r="C239" i="18"/>
  <c r="D207" i="18"/>
  <c r="D208" i="18" s="1"/>
  <c r="Z203" i="18" s="1"/>
  <c r="Z555" i="18"/>
  <c r="Z552" i="18"/>
  <c r="Z551" i="18"/>
  <c r="Z554" i="18"/>
  <c r="Z550" i="18"/>
  <c r="Z557" i="18"/>
  <c r="Z556" i="18"/>
  <c r="Z553" i="18"/>
  <c r="F77" i="25"/>
  <c r="F63" i="31" s="1"/>
  <c r="G63" i="31" s="1"/>
  <c r="F165" i="25"/>
  <c r="F122" i="31" s="1"/>
  <c r="G122" i="31" s="1"/>
  <c r="F164" i="25"/>
  <c r="F121" i="31" s="1"/>
  <c r="G121" i="31" s="1"/>
  <c r="F79" i="25"/>
  <c r="F65" i="31" s="1"/>
  <c r="G65" i="31" s="1"/>
  <c r="F161" i="25"/>
  <c r="F118" i="31" s="1"/>
  <c r="G118" i="31" s="1"/>
  <c r="F84" i="25"/>
  <c r="F70" i="31" s="1"/>
  <c r="G70" i="31" s="1"/>
  <c r="F162" i="25"/>
  <c r="F119" i="31" s="1"/>
  <c r="G119" i="31" s="1"/>
  <c r="F78" i="25"/>
  <c r="F64" i="31" s="1"/>
  <c r="G64" i="31" s="1"/>
  <c r="F80" i="25"/>
  <c r="F66" i="31" s="1"/>
  <c r="G66" i="31" s="1"/>
  <c r="F64" i="25"/>
  <c r="F50" i="31" s="1"/>
  <c r="G50" i="31" s="1"/>
  <c r="C1093" i="18"/>
  <c r="C189" i="18"/>
  <c r="C116" i="18"/>
  <c r="C594" i="18"/>
  <c r="F99" i="28" l="1"/>
  <c r="G99" i="28" s="1"/>
  <c r="F128" i="31"/>
  <c r="G128" i="31" s="1"/>
  <c r="I182" i="25"/>
  <c r="I77" i="25"/>
  <c r="F34" i="28"/>
  <c r="G34" i="28" s="1"/>
  <c r="I80" i="25"/>
  <c r="F37" i="28"/>
  <c r="G37" i="28" s="1"/>
  <c r="I84" i="25"/>
  <c r="F41" i="28"/>
  <c r="G41" i="28" s="1"/>
  <c r="I68" i="25"/>
  <c r="F25" i="28"/>
  <c r="G25" i="28" s="1"/>
  <c r="I78" i="25"/>
  <c r="F35" i="28"/>
  <c r="G35" i="28" s="1"/>
  <c r="I162" i="25"/>
  <c r="F90" i="28"/>
  <c r="G90" i="28" s="1"/>
  <c r="I92" i="25"/>
  <c r="F49" i="28"/>
  <c r="G49" i="28" s="1"/>
  <c r="I165" i="25"/>
  <c r="F93" i="28"/>
  <c r="G93" i="28" s="1"/>
  <c r="I161" i="25"/>
  <c r="F89" i="28"/>
  <c r="G89" i="28" s="1"/>
  <c r="I79" i="25"/>
  <c r="F36" i="28"/>
  <c r="G36" i="28" s="1"/>
  <c r="I64" i="25"/>
  <c r="F21" i="28"/>
  <c r="G21" i="28" s="1"/>
  <c r="I164" i="25"/>
  <c r="F92" i="28"/>
  <c r="G92" i="28" s="1"/>
  <c r="Z206" i="18"/>
  <c r="Z204" i="18"/>
  <c r="Z210" i="18"/>
  <c r="Z205" i="18"/>
  <c r="Z209" i="18"/>
  <c r="Z211" i="18"/>
  <c r="Z208" i="18"/>
  <c r="Z207" i="18"/>
  <c r="C555" i="18"/>
  <c r="F70" i="25"/>
  <c r="F56" i="31" s="1"/>
  <c r="G56" i="31" s="1"/>
  <c r="F166" i="25"/>
  <c r="F123" i="31" s="1"/>
  <c r="G123" i="31" s="1"/>
  <c r="F76" i="25"/>
  <c r="F62" i="31" s="1"/>
  <c r="G62" i="31" s="1"/>
  <c r="F83" i="25"/>
  <c r="F69" i="31" s="1"/>
  <c r="G69" i="31" s="1"/>
  <c r="F150" i="25"/>
  <c r="F111" i="31" s="1"/>
  <c r="G111" i="31" s="1"/>
  <c r="I76" i="25" l="1"/>
  <c r="F33" i="28"/>
  <c r="G33" i="28" s="1"/>
  <c r="I70" i="25"/>
  <c r="F27" i="28"/>
  <c r="G27" i="28" s="1"/>
  <c r="I83" i="25"/>
  <c r="F40" i="28"/>
  <c r="G40" i="28" s="1"/>
  <c r="I166" i="25"/>
  <c r="F94" i="28"/>
  <c r="G94" i="28" s="1"/>
  <c r="I150" i="25"/>
  <c r="F82" i="28"/>
  <c r="G82" i="28" s="1"/>
  <c r="C209" i="18"/>
  <c r="F163" i="25"/>
  <c r="F120" i="31" s="1"/>
  <c r="G120" i="31" s="1"/>
  <c r="Z956" i="18"/>
  <c r="Z958" i="18" s="1"/>
  <c r="I163" i="25" l="1"/>
  <c r="F91" i="28"/>
  <c r="G91" i="28" s="1"/>
  <c r="F86" i="25"/>
  <c r="F72" i="31" s="1"/>
  <c r="G72" i="31" s="1"/>
  <c r="Z959" i="18"/>
  <c r="Z960" i="18"/>
  <c r="Z964" i="18"/>
  <c r="Z962" i="18"/>
  <c r="Z957" i="18"/>
  <c r="Z961" i="18"/>
  <c r="Z963" i="18"/>
  <c r="I86" i="25" l="1"/>
  <c r="F43" i="28"/>
  <c r="G43" i="28" s="1"/>
  <c r="C962" i="18"/>
  <c r="F144" i="25" l="1"/>
  <c r="F106" i="31" s="1"/>
  <c r="G106" i="31" s="1"/>
  <c r="F19" i="27"/>
  <c r="B10" i="27"/>
  <c r="B11" i="27" s="1"/>
  <c r="B12" i="27" s="1"/>
  <c r="B13" i="27" s="1"/>
  <c r="Q23" i="27"/>
  <c r="R23" i="27" s="1"/>
  <c r="M1059" i="18" s="1"/>
  <c r="M1060" i="18" s="1"/>
  <c r="Z1055" i="18" s="1"/>
  <c r="C18" i="27"/>
  <c r="C19" i="27" s="1"/>
  <c r="Z1057" i="18" l="1"/>
  <c r="Z1059" i="18"/>
  <c r="Z1063" i="18"/>
  <c r="Z1058" i="18"/>
  <c r="Z1060" i="18"/>
  <c r="Z1061" i="18"/>
  <c r="Z1056" i="18"/>
  <c r="Z1062" i="18"/>
  <c r="I144" i="25"/>
  <c r="F77" i="28"/>
  <c r="G77" i="28" s="1"/>
  <c r="C20" i="27"/>
  <c r="C21" i="27" s="1"/>
  <c r="I171" i="25"/>
  <c r="M1049" i="18"/>
  <c r="C1061" i="18" l="1"/>
  <c r="F175" i="25" s="1"/>
  <c r="F127" i="31" s="1"/>
  <c r="G127" i="31" s="1"/>
  <c r="J20" i="27" a="1"/>
  <c r="J20" i="27" s="1"/>
  <c r="K20" i="27" s="1"/>
  <c r="J21" i="27" a="1"/>
  <c r="J21" i="27" s="1"/>
  <c r="K21" i="27" s="1"/>
  <c r="L1050" i="18"/>
  <c r="M1050" i="18"/>
  <c r="K22" i="27" l="1"/>
  <c r="H1029" i="18"/>
  <c r="I234" i="25"/>
  <c r="Z1045" i="18"/>
  <c r="Z1050" i="18" s="1"/>
  <c r="K23" i="27" l="1"/>
  <c r="L23" i="27" s="1"/>
  <c r="D241" i="25"/>
  <c r="I241" i="25" s="1"/>
  <c r="K24" i="27"/>
  <c r="L24" i="27" s="1"/>
  <c r="J1028" i="18" s="1"/>
  <c r="K1018" i="18"/>
  <c r="J1018" i="18"/>
  <c r="Z1047" i="18"/>
  <c r="Z1049" i="18"/>
  <c r="Z1053" i="18"/>
  <c r="Z1046" i="18"/>
  <c r="Z1051" i="18"/>
  <c r="Z1048" i="18"/>
  <c r="Z1052" i="18"/>
  <c r="D614" i="18" l="1"/>
  <c r="D615" i="18" s="1"/>
  <c r="Z610" i="18" s="1"/>
  <c r="Z618" i="18" s="1"/>
  <c r="H1039" i="18"/>
  <c r="H1040" i="18" s="1"/>
  <c r="Z1035" i="18" s="1"/>
  <c r="Z1043" i="18" s="1"/>
  <c r="J1029" i="18"/>
  <c r="Z1024" i="18" s="1"/>
  <c r="Z1013" i="18"/>
  <c r="Z1017" i="18" s="1"/>
  <c r="C1051" i="18"/>
  <c r="Z1040" i="18" l="1"/>
  <c r="Z1042" i="18"/>
  <c r="Z612" i="18"/>
  <c r="Z1041" i="18"/>
  <c r="Z613" i="18"/>
  <c r="Z615" i="18"/>
  <c r="Z1037" i="18"/>
  <c r="Z1039" i="18"/>
  <c r="Z614" i="18"/>
  <c r="Z1038" i="18"/>
  <c r="Z1036" i="18"/>
  <c r="Z616" i="18"/>
  <c r="Z617" i="18"/>
  <c r="Z611" i="18"/>
  <c r="Z1030" i="18"/>
  <c r="Z1027" i="18"/>
  <c r="Z1026" i="18"/>
  <c r="Z1029" i="18"/>
  <c r="Z1028" i="18"/>
  <c r="Z1032" i="18"/>
  <c r="Z1025" i="18"/>
  <c r="Z1031" i="18"/>
  <c r="Z1018" i="18"/>
  <c r="Z1020" i="18"/>
  <c r="Z1021" i="18"/>
  <c r="Z1016" i="18"/>
  <c r="Z1015" i="18"/>
  <c r="Z1014" i="18"/>
  <c r="Z1019" i="18"/>
  <c r="F173" i="25"/>
  <c r="F126" i="31" s="1"/>
  <c r="G126" i="31" s="1"/>
  <c r="C1041" i="18" l="1"/>
  <c r="F242" i="25" s="1"/>
  <c r="F175" i="31" s="1"/>
  <c r="G175" i="31" s="1"/>
  <c r="C616" i="18"/>
  <c r="F267" i="25" s="1"/>
  <c r="F189" i="31" s="1"/>
  <c r="G189" i="31" s="1"/>
  <c r="I173" i="25"/>
  <c r="F97" i="28"/>
  <c r="G97" i="28" s="1"/>
  <c r="C1030" i="18"/>
  <c r="F247" i="25" s="1"/>
  <c r="F180" i="31" s="1"/>
  <c r="G180" i="31" s="1"/>
  <c r="C1019" i="18"/>
  <c r="F265" i="25" l="1"/>
  <c r="F266" i="25"/>
  <c r="F244" i="25"/>
  <c r="F243" i="25"/>
  <c r="I267" i="25"/>
  <c r="F160" i="28"/>
  <c r="G160" i="28" s="1"/>
  <c r="I242" i="25"/>
  <c r="F146" i="28"/>
  <c r="G146" i="28" s="1"/>
  <c r="I247" i="25"/>
  <c r="F151" i="28"/>
  <c r="G151" i="28" s="1"/>
  <c r="I175" i="25"/>
  <c r="F98" i="28"/>
  <c r="G98" i="28" s="1"/>
  <c r="F246" i="25"/>
  <c r="F179" i="31" s="1"/>
  <c r="G179" i="31" s="1"/>
  <c r="F245" i="25"/>
  <c r="F178" i="31" s="1"/>
  <c r="G178" i="31" s="1"/>
  <c r="F239" i="25"/>
  <c r="F174" i="31" s="1"/>
  <c r="G174" i="31" s="1"/>
  <c r="F238" i="25"/>
  <c r="F173" i="31" s="1"/>
  <c r="G173" i="31" s="1"/>
  <c r="F236" i="25"/>
  <c r="F171" i="31" s="1"/>
  <c r="G171" i="31" s="1"/>
  <c r="F237" i="25"/>
  <c r="F172" i="31" s="1"/>
  <c r="G172" i="31" s="1"/>
  <c r="F235" i="25"/>
  <c r="F170" i="31" s="1"/>
  <c r="G170" i="31" s="1"/>
  <c r="F147" i="28" l="1"/>
  <c r="G147" i="28" s="1"/>
  <c r="F176" i="31"/>
  <c r="G176" i="31" s="1"/>
  <c r="F148" i="28"/>
  <c r="G148" i="28" s="1"/>
  <c r="F177" i="31"/>
  <c r="G177" i="31" s="1"/>
  <c r="I266" i="25"/>
  <c r="F188" i="31"/>
  <c r="G188" i="31" s="1"/>
  <c r="F158" i="28"/>
  <c r="G158" i="28" s="1"/>
  <c r="F187" i="31"/>
  <c r="G187" i="31" s="1"/>
  <c r="I265" i="25"/>
  <c r="F159" i="28"/>
  <c r="G159" i="28" s="1"/>
  <c r="I244" i="25"/>
  <c r="I243" i="25"/>
  <c r="I235" i="25"/>
  <c r="F141" i="28"/>
  <c r="G141" i="28" s="1"/>
  <c r="I245" i="25"/>
  <c r="F149" i="28"/>
  <c r="G149" i="28" s="1"/>
  <c r="I246" i="25"/>
  <c r="F150" i="28"/>
  <c r="G150" i="28" s="1"/>
  <c r="I239" i="25"/>
  <c r="F145" i="28"/>
  <c r="G145" i="28" s="1"/>
  <c r="I237" i="25"/>
  <c r="F143" i="28"/>
  <c r="G143" i="28" s="1"/>
  <c r="I236" i="25"/>
  <c r="F142" i="28"/>
  <c r="G142" i="28" s="1"/>
  <c r="I238" i="25"/>
  <c r="F144" i="28"/>
  <c r="G144" i="28" s="1"/>
  <c r="F47" i="21" l="1"/>
  <c r="H103" i="18" s="1"/>
  <c r="H104" i="18" s="1"/>
  <c r="Z100" i="18" s="1"/>
  <c r="Z102" i="18" l="1"/>
  <c r="Z107" i="18"/>
  <c r="Z101" i="18"/>
  <c r="Z105" i="18"/>
  <c r="Z104" i="18"/>
  <c r="Z108" i="18"/>
  <c r="Z103" i="18"/>
  <c r="Z106" i="18"/>
  <c r="C105" i="18" l="1"/>
  <c r="F75" i="25" s="1"/>
  <c r="F61" i="31" s="1"/>
  <c r="G61" i="31" s="1"/>
  <c r="F32" i="28" l="1"/>
  <c r="G32" i="28" s="1"/>
  <c r="I75" i="2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Srinivasan, SenthilKumar</author>
  </authors>
  <commentList>
    <comment ref="E15" authorId="0" shapeId="0" xr:uid="{00000000-0006-0000-0100-000001000000}">
      <text>
        <r>
          <rPr>
            <b/>
            <sz val="9"/>
            <color indexed="81"/>
            <rFont val="Tahoma"/>
            <family val="2"/>
          </rPr>
          <t>Frequency Range:
DDR3 - 800MHz
DDR4 - 800MHz
LPDDR4 - 666MHz</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a0875190</author>
  </authors>
  <commentList>
    <comment ref="J264" authorId="0" shapeId="0" xr:uid="{00000000-0006-0000-0200-000001000000}">
      <text>
        <r>
          <rPr>
            <b/>
            <sz val="9"/>
            <color indexed="81"/>
            <rFont val="Tahoma"/>
            <family val="2"/>
          </rPr>
          <t>a0875190:</t>
        </r>
        <r>
          <rPr>
            <sz val="9"/>
            <color indexed="81"/>
            <rFont val="Tahoma"/>
            <family val="2"/>
          </rPr>
          <t xml:space="preserve">
Check with Ritesh regarding LPDDR2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Doublesin, James</author>
  </authors>
  <commentList>
    <comment ref="G84" authorId="0" shapeId="0" xr:uid="{00000000-0006-0000-0600-000001000000}">
      <text>
        <r>
          <rPr>
            <b/>
            <sz val="9"/>
            <color indexed="81"/>
            <rFont val="Tahoma"/>
            <family val="2"/>
          </rPr>
          <t>Doublesin, James:</t>
        </r>
        <r>
          <rPr>
            <sz val="9"/>
            <color indexed="81"/>
            <rFont val="Tahoma"/>
            <family val="2"/>
          </rPr>
          <t xml:space="preserve">
No extra /2 as it is already in terms of DFI clock cycles</t>
        </r>
      </text>
    </comment>
    <comment ref="K1017" authorId="0" shapeId="0" xr:uid="{00000000-0006-0000-0600-000002000000}">
      <text>
        <r>
          <rPr>
            <b/>
            <sz val="9"/>
            <color indexed="81"/>
            <rFont val="Tahoma"/>
            <family val="2"/>
          </rPr>
          <t>Doublesin, James:</t>
        </r>
        <r>
          <rPr>
            <sz val="9"/>
            <color indexed="81"/>
            <rFont val="Tahoma"/>
            <family val="2"/>
          </rPr>
          <t xml:space="preserve">
DQS Gate VREF
DDR3/4=25.%
LPDDR4=50%</t>
        </r>
      </text>
    </comment>
  </commentList>
</comments>
</file>

<file path=xl/sharedStrings.xml><?xml version="1.0" encoding="utf-8"?>
<sst xmlns="http://schemas.openxmlformats.org/spreadsheetml/2006/main" count="8316" uniqueCount="2453">
  <si>
    <t>MHz</t>
  </si>
  <si>
    <t>MT/s</t>
  </si>
  <si>
    <t>tCK</t>
  </si>
  <si>
    <t>ns</t>
  </si>
  <si>
    <t>tRP</t>
  </si>
  <si>
    <t>tRCD</t>
  </si>
  <si>
    <t>tWR</t>
  </si>
  <si>
    <t>tRC</t>
  </si>
  <si>
    <t>tRRD</t>
  </si>
  <si>
    <t>tWTR</t>
  </si>
  <si>
    <t>tXP</t>
  </si>
  <si>
    <t>tRTP</t>
  </si>
  <si>
    <t>tCKE</t>
  </si>
  <si>
    <t>tZQCS</t>
  </si>
  <si>
    <t>tRFC</t>
  </si>
  <si>
    <t>tREFI</t>
  </si>
  <si>
    <t>Bit field values (hex)</t>
  </si>
  <si>
    <t>Bit field values (binary)</t>
  </si>
  <si>
    <t>Register value (hex) optimized</t>
  </si>
  <si>
    <t>DDR Memory Type</t>
  </si>
  <si>
    <t>-</t>
  </si>
  <si>
    <t>DDR Memory Frequency</t>
  </si>
  <si>
    <t>Bits</t>
  </si>
  <si>
    <t>Detail</t>
  </si>
  <si>
    <t>Description</t>
  </si>
  <si>
    <t>Value</t>
  </si>
  <si>
    <t>Units</t>
  </si>
  <si>
    <t>1A) System application details:</t>
  </si>
  <si>
    <t>1B) DDR memory specifications:</t>
  </si>
  <si>
    <t>Speed Bin: Data Rate</t>
  </si>
  <si>
    <t>Width</t>
  </si>
  <si>
    <t>1C) DDR memory I/O settings (termination / output driver impedance):</t>
  </si>
  <si>
    <t xml:space="preserve">TI Recommendation** </t>
  </si>
  <si>
    <t>ODT / Rtt_Nom</t>
  </si>
  <si>
    <t>RZQ/4</t>
  </si>
  <si>
    <t>Ohms</t>
  </si>
  <si>
    <t>Dynamic ODT / Rtt_Wr</t>
  </si>
  <si>
    <t>Disabled</t>
  </si>
  <si>
    <t>Output Driver Impedance</t>
  </si>
  <si>
    <t>RZQ/7</t>
  </si>
  <si>
    <t>** NOTE: Users should check for recommendations provided by their DDR manufacturer.</t>
  </si>
  <si>
    <t>TI Recommendation</t>
  </si>
  <si>
    <t>ODT</t>
  </si>
  <si>
    <t>Slew Rate: Addr/Ctrl/Clk</t>
  </si>
  <si>
    <t>Slew Rate: Data/Strobe</t>
  </si>
  <si>
    <t>Output Driver Impedance: Addr/Ctrl/Clk</t>
  </si>
  <si>
    <t>Output Driver Impedance: Data/Strobe</t>
  </si>
  <si>
    <t>Enter Values Here!</t>
  </si>
  <si>
    <t>Parameter</t>
  </si>
  <si>
    <t>Datasheet Values</t>
  </si>
  <si>
    <t>CAS Latency</t>
  </si>
  <si>
    <t>Delay between internal READ command and data ready</t>
  </si>
  <si>
    <t>CWL Latency</t>
  </si>
  <si>
    <t>Delay between internal WRITE command and data ready</t>
  </si>
  <si>
    <t>Precharge command period</t>
  </si>
  <si>
    <t>Active to read or write delay</t>
  </si>
  <si>
    <t>Write recovery time</t>
  </si>
  <si>
    <t>tRAS</t>
  </si>
  <si>
    <t>Active to Precharge command period</t>
  </si>
  <si>
    <t>Active to Active/Refresh command period</t>
  </si>
  <si>
    <t>Active Bank to Active Bank command period</t>
  </si>
  <si>
    <t>Internal Write to Read command delay</t>
  </si>
  <si>
    <t>Exit power down mode to first valid command</t>
  </si>
  <si>
    <t>tXSNR/tXS</t>
  </si>
  <si>
    <t>Exit self refresh to commands not requiring a locked DLL</t>
  </si>
  <si>
    <t>tXSRD/tXSDLL</t>
  </si>
  <si>
    <t>Exit self refresh to commands requiring a locked DLL</t>
  </si>
  <si>
    <t>Internal Read to Precharge command delay</t>
  </si>
  <si>
    <t>CKE minimum pulse width</t>
  </si>
  <si>
    <t>tCKESR</t>
  </si>
  <si>
    <t>Minimum CKE low width for Self Refresh entry to exit</t>
  </si>
  <si>
    <t>ZQ short calibration time</t>
  </si>
  <si>
    <t>Refresh to Active/Refresh command period</t>
  </si>
  <si>
    <t>tRAS (max)</t>
  </si>
  <si>
    <t>Active to Precharge command period (Max Value)</t>
  </si>
  <si>
    <t>Average periodic refresh interval</t>
  </si>
  <si>
    <t>Number of Rows</t>
  </si>
  <si>
    <t>Number of Columns</t>
  </si>
  <si>
    <t>RZQ/6</t>
  </si>
  <si>
    <t>RZQ/2</t>
  </si>
  <si>
    <t>RZQ/8</t>
  </si>
  <si>
    <t>RZQ/12</t>
  </si>
  <si>
    <t>Full Thevenin</t>
  </si>
  <si>
    <t>Half Thevenin</t>
  </si>
  <si>
    <t>tODT</t>
  </si>
  <si>
    <t>tCSTA</t>
  </si>
  <si>
    <t>tRTW</t>
  </si>
  <si>
    <t>Reserved[31]</t>
  </si>
  <si>
    <t>Reserved[31:30]</t>
  </si>
  <si>
    <t>Reserved[31:28]</t>
  </si>
  <si>
    <t>Density</t>
  </si>
  <si>
    <t>Gb</t>
  </si>
  <si>
    <t>Directions</t>
  </si>
  <si>
    <t>1)</t>
  </si>
  <si>
    <r>
      <rPr>
        <b/>
        <u/>
        <sz val="10"/>
        <color rgb="FFFF0000"/>
        <rFont val="Times New Roman"/>
        <family val="1"/>
      </rPr>
      <t>Note</t>
    </r>
    <r>
      <rPr>
        <b/>
        <sz val="10"/>
        <color rgb="FFFF0000"/>
        <rFont val="Times New Roman"/>
        <family val="1"/>
      </rPr>
      <t>: Values shown in red must be changed!</t>
    </r>
  </si>
  <si>
    <t>Revision 1.0</t>
  </si>
  <si>
    <t>2)</t>
  </si>
  <si>
    <r>
      <t>The "</t>
    </r>
    <r>
      <rPr>
        <i/>
        <sz val="10"/>
        <color rgb="FFFF0000"/>
        <rFont val="Times New Roman"/>
        <family val="1"/>
      </rPr>
      <t>JEDEC Bit Field Values</t>
    </r>
    <r>
      <rPr>
        <sz val="10"/>
        <color rgb="FFFF0000"/>
        <rFont val="Times New Roman"/>
        <family val="1"/>
      </rPr>
      <t>" are dynamically populated based off of the user provided DDR speed grade and frequency operation specified in worksheet '</t>
    </r>
    <r>
      <rPr>
        <i/>
        <sz val="10"/>
        <color rgb="FFFF0000"/>
        <rFont val="Times New Roman"/>
        <family val="1"/>
      </rPr>
      <t>Step1-SystemDetails</t>
    </r>
    <r>
      <rPr>
        <sz val="10"/>
        <color rgb="FFFF0000"/>
        <rFont val="Times New Roman"/>
        <family val="1"/>
      </rPr>
      <t>'.</t>
    </r>
  </si>
  <si>
    <t>3)</t>
  </si>
  <si>
    <r>
      <t>The "</t>
    </r>
    <r>
      <rPr>
        <i/>
        <sz val="10"/>
        <color rgb="FFFF0000"/>
        <rFont val="Times New Roman"/>
        <family val="1"/>
      </rPr>
      <t>Final Bit Field Values</t>
    </r>
    <r>
      <rPr>
        <sz val="10"/>
        <color rgb="FFFF0000"/>
        <rFont val="Times New Roman"/>
        <family val="1"/>
      </rPr>
      <t>" and "</t>
    </r>
    <r>
      <rPr>
        <i/>
        <sz val="10"/>
        <color rgb="FFFF0000"/>
        <rFont val="Times New Roman"/>
        <family val="1"/>
      </rPr>
      <t>JEDEC Bit Field Values</t>
    </r>
    <r>
      <rPr>
        <sz val="10"/>
        <color rgb="FFFF0000"/>
        <rFont val="Times New Roman"/>
        <family val="1"/>
      </rPr>
      <t>" are provided to allow the user to perform a quick sanity check (Example: check for data possibly entered incorrectly)</t>
    </r>
  </si>
  <si>
    <t>4)</t>
  </si>
  <si>
    <r>
      <t>The user is responsible to ensure that the "</t>
    </r>
    <r>
      <rPr>
        <i/>
        <sz val="10"/>
        <color rgb="FFFF0000"/>
        <rFont val="Times New Roman"/>
        <family val="1"/>
      </rPr>
      <t>Datasheet Values</t>
    </r>
    <r>
      <rPr>
        <sz val="10"/>
        <color rgb="FFFF0000"/>
        <rFont val="Times New Roman"/>
        <family val="1"/>
      </rPr>
      <t>" adhere to their DDR device datasheet.</t>
    </r>
  </si>
  <si>
    <r>
      <t>Compare the "</t>
    </r>
    <r>
      <rPr>
        <i/>
        <sz val="10"/>
        <color theme="0"/>
        <rFont val="Times New Roman"/>
        <family val="1"/>
      </rPr>
      <t>Final Bit Field Values</t>
    </r>
    <r>
      <rPr>
        <sz val="10"/>
        <color theme="0"/>
        <rFont val="Times New Roman"/>
        <family val="1"/>
      </rPr>
      <t>" to the "</t>
    </r>
    <r>
      <rPr>
        <i/>
        <sz val="10"/>
        <color theme="0"/>
        <rFont val="Times New Roman"/>
        <family val="1"/>
      </rPr>
      <t>JEDEC Bit Field Values</t>
    </r>
    <r>
      <rPr>
        <sz val="10"/>
        <color theme="0"/>
        <rFont val="Times New Roman"/>
        <family val="1"/>
      </rPr>
      <t>". For more details, please review the notes listed below.</t>
    </r>
  </si>
  <si>
    <t>Calculates the configuration and timing registers based on the user inputs in steps 1, 2 and 3.</t>
  </si>
  <si>
    <t>TEXAS INSTRUMENTS</t>
  </si>
  <si>
    <t>Pre-defined Configurations</t>
  </si>
  <si>
    <t>Click push buttons to auto-populate worksheets per TI EVMs:</t>
  </si>
  <si>
    <r>
      <t>Workbook Supported Configurations</t>
    </r>
    <r>
      <rPr>
        <vertAlign val="superscript"/>
        <sz val="10"/>
        <color theme="0"/>
        <rFont val="Times New Roman"/>
        <family val="1"/>
      </rPr>
      <t>1</t>
    </r>
  </si>
  <si>
    <t>TI Part Numbers:</t>
  </si>
  <si>
    <t>DDR Types:</t>
  </si>
  <si>
    <t>Workbook Limitations</t>
  </si>
  <si>
    <t>Non conventional memory configurations (as defined by JEDEC standards) may or may not be supportable by this tool.</t>
  </si>
  <si>
    <t>Workbook Usage Notes</t>
  </si>
  <si>
    <t xml:space="preserve">    1 - For further details on supported configurations of the TI processor, please review the corresponding datasheet of the TI part.</t>
  </si>
  <si>
    <t>Revision</t>
  </si>
  <si>
    <t>Revision History</t>
  </si>
  <si>
    <t>Initial Release</t>
  </si>
  <si>
    <t>NA</t>
  </si>
  <si>
    <t>DDR3_L-1600</t>
  </si>
  <si>
    <t>DDR3_L-1333</t>
  </si>
  <si>
    <t>DDR3_L-1066</t>
  </si>
  <si>
    <t>DDR3_L-800</t>
  </si>
  <si>
    <t xml:space="preserve">                                  </t>
  </si>
  <si>
    <t>DDR3_L-2133</t>
  </si>
  <si>
    <t>DDR3_L-1866</t>
  </si>
  <si>
    <t>LPDDR2_1066</t>
  </si>
  <si>
    <t>LPDDR2_933</t>
  </si>
  <si>
    <t>LPDDR2_800</t>
  </si>
  <si>
    <t>LPDDR2_667</t>
  </si>
  <si>
    <t>LPDDR2_533</t>
  </si>
  <si>
    <t>LPDDR2_CL</t>
  </si>
  <si>
    <t>Reserved[9:8]</t>
  </si>
  <si>
    <t>tDQSCKmax</t>
  </si>
  <si>
    <t>tPDLL_UL</t>
  </si>
  <si>
    <t>DDR3</t>
  </si>
  <si>
    <t>0x00000000</t>
  </si>
  <si>
    <t>1D) ZQ Calibration settings:</t>
  </si>
  <si>
    <t>ZQCL on Self Refresh</t>
  </si>
  <si>
    <t>Temperature Sensitivity</t>
  </si>
  <si>
    <t>Voltage Sensitivity</t>
  </si>
  <si>
    <r>
      <t>%/</t>
    </r>
    <r>
      <rPr>
        <sz val="10"/>
        <rFont val="Calibri"/>
        <family val="2"/>
      </rPr>
      <t>⁰</t>
    </r>
    <r>
      <rPr>
        <sz val="10"/>
        <rFont val="Arial"/>
        <family val="2"/>
      </rPr>
      <t>C</t>
    </r>
  </si>
  <si>
    <t>%/mV</t>
  </si>
  <si>
    <t>⁰C/Sec</t>
  </si>
  <si>
    <t>mV/Sec</t>
  </si>
  <si>
    <t>Temperature Drift Rate</t>
  </si>
  <si>
    <t>Voltage Drift Rate</t>
  </si>
  <si>
    <t>0 to 1</t>
  </si>
  <si>
    <t>0 to 15</t>
  </si>
  <si>
    <t>DDR Rank</t>
  </si>
  <si>
    <t>tFAW</t>
  </si>
  <si>
    <t>Four Activate Window</t>
  </si>
  <si>
    <t>TI Recommendation**</t>
  </si>
  <si>
    <t>Date: 4th April, 2017</t>
  </si>
  <si>
    <t>DDR4</t>
  </si>
  <si>
    <t>LPDDR4</t>
  </si>
  <si>
    <t>DDR_Type</t>
  </si>
  <si>
    <t>DDR3_freq</t>
  </si>
  <si>
    <t>Type</t>
  </si>
  <si>
    <t>Speed</t>
  </si>
  <si>
    <t>DDR3_667</t>
  </si>
  <si>
    <t>DDR3_533</t>
  </si>
  <si>
    <t>DDR4_533</t>
  </si>
  <si>
    <t>LPDDR4_533</t>
  </si>
  <si>
    <t>DDR4_667</t>
  </si>
  <si>
    <t>LPDDR4_667</t>
  </si>
  <si>
    <t>DDR3_800</t>
  </si>
  <si>
    <t>DDR4_800</t>
  </si>
  <si>
    <t>LPDDR4_800</t>
  </si>
  <si>
    <t>DDR3_933</t>
  </si>
  <si>
    <t>DDR4_933</t>
  </si>
  <si>
    <t>LPDDR4_933</t>
  </si>
  <si>
    <t>DDR3_1066</t>
  </si>
  <si>
    <t>DDR4_1066</t>
  </si>
  <si>
    <t>LPDDR4_1066</t>
  </si>
  <si>
    <t>DDR3_1333</t>
  </si>
  <si>
    <t>DDR4_1333</t>
  </si>
  <si>
    <t>LPDDR4_1333</t>
  </si>
  <si>
    <t>DDR3_1600</t>
  </si>
  <si>
    <t>DDR4_1600</t>
  </si>
  <si>
    <t>LPDDR4_1600</t>
  </si>
  <si>
    <t>Reserved[31:29]</t>
  </si>
  <si>
    <t>DFI_T_CTRL_DELAY[28:24]</t>
  </si>
  <si>
    <t>DFI_RDDATA_USE_DFI_PHY_CLK[23]</t>
  </si>
  <si>
    <t>DFI_T_RDDATA_EN[22:16]</t>
  </si>
  <si>
    <t>DFI_WRDATA_USE_DFI_PHY_CLK[15]</t>
  </si>
  <si>
    <t>Reserved[14]</t>
  </si>
  <si>
    <t>DFI_TPHY_WRDATA[13:8]</t>
  </si>
  <si>
    <t>Reserved[7:6]</t>
  </si>
  <si>
    <t>DFI_TPHY_WRLAT[5:0]</t>
  </si>
  <si>
    <t>Bit field width</t>
  </si>
  <si>
    <t>DDRPHY_DTPR0</t>
  </si>
  <si>
    <t>TRRD[28:24]</t>
  </si>
  <si>
    <t>Reserved[23]</t>
  </si>
  <si>
    <t>TRAS[22:16]</t>
  </si>
  <si>
    <t>Reserved[15]</t>
  </si>
  <si>
    <t>TRP[14:8]</t>
  </si>
  <si>
    <t>Reserved[7:5]</t>
  </si>
  <si>
    <t>TRTP[4:0]</t>
  </si>
  <si>
    <t>DDRPHY_DTPR1</t>
  </si>
  <si>
    <t>TWLMRD[30:24]</t>
  </si>
  <si>
    <t>TFAW[22:16]</t>
  </si>
  <si>
    <t>Reserved[15:11]</t>
  </si>
  <si>
    <t>TMOD[10:8]</t>
  </si>
  <si>
    <t>TMRD[4:0]</t>
  </si>
  <si>
    <t>tMRD</t>
  </si>
  <si>
    <t>tMOD</t>
  </si>
  <si>
    <t>tWLMRD</t>
  </si>
  <si>
    <t>DDRPHY_DTPR2</t>
  </si>
  <si>
    <t>TRTW[28]</t>
  </si>
  <si>
    <t>Reserved[27:25]</t>
  </si>
  <si>
    <t>TRTODT[24]</t>
  </si>
  <si>
    <t>TCMDCKE_TESCKE[23:20]</t>
  </si>
  <si>
    <t>TCKE[19:16]</t>
  </si>
  <si>
    <t>TVRCG[15:13]</t>
  </si>
  <si>
    <t>Reserved[12:10]</t>
  </si>
  <si>
    <t>TXS[9:0]</t>
  </si>
  <si>
    <t>DDRPHY_DTPR3</t>
  </si>
  <si>
    <t>TOFDX[31:29]</t>
  </si>
  <si>
    <t>TDLLK[25:16]</t>
  </si>
  <si>
    <t>Reserved[15:12]</t>
  </si>
  <si>
    <t>Reserved[7:3]</t>
  </si>
  <si>
    <t>TDQSCK[2:0]</t>
  </si>
  <si>
    <t>TDQSCKMAX[11:8]</t>
  </si>
  <si>
    <t>tDLLK</t>
  </si>
  <si>
    <t>TCCD[28:26]</t>
  </si>
  <si>
    <t>LPDDR4 only</t>
  </si>
  <si>
    <t>DDRPHY_DTPR4</t>
  </si>
  <si>
    <t>EMIF Tool: Register Configuration - Configuration and Timing Registers</t>
  </si>
  <si>
    <t>TODTUP[31:24]</t>
  </si>
  <si>
    <t>TRC[23:16]</t>
  </si>
  <si>
    <t>TRCD[14:8]</t>
  </si>
  <si>
    <t>TWTR[4:0]</t>
  </si>
  <si>
    <t>DDRPHY_DTPR5</t>
  </si>
  <si>
    <t>TAOND_TAOFD[29:28]</t>
  </si>
  <si>
    <t>Reserved[27:26]</t>
  </si>
  <si>
    <t>TRFC[25:16]</t>
  </si>
  <si>
    <t>Reserved[15:14]</t>
  </si>
  <si>
    <t>TWLO[13:8]</t>
  </si>
  <si>
    <t>TXP[5:0]</t>
  </si>
  <si>
    <t>DDRPHY_DTPR6</t>
  </si>
  <si>
    <t>PUBWLEN[31]</t>
  </si>
  <si>
    <t>PUBRLEN[30]</t>
  </si>
  <si>
    <t>PUBWL[13:8]</t>
  </si>
  <si>
    <t>PUBRL[5:0]</t>
  </si>
  <si>
    <t>Reserved[23:14]</t>
  </si>
  <si>
    <t>Reserved[29:24]</t>
  </si>
  <si>
    <t>DDR4-1600</t>
  </si>
  <si>
    <t>tXPR</t>
  </si>
  <si>
    <t>DX8SLxIOCR</t>
  </si>
  <si>
    <t>DXDACRANGE[30:28]</t>
  </si>
  <si>
    <t>DXVREFIOM[27:25]</t>
  </si>
  <si>
    <t>DXIOM[24:22]</t>
  </si>
  <si>
    <t>DXTXM[21:11]</t>
  </si>
  <si>
    <t>DXRXM[10:0]</t>
  </si>
  <si>
    <t>00000000000</t>
  </si>
  <si>
    <t>Reserved[31:16]</t>
  </si>
  <si>
    <t>Reserved[15:13]</t>
  </si>
  <si>
    <t>0000000000000000</t>
  </si>
  <si>
    <t>WR[11:9]</t>
  </si>
  <si>
    <t>DR[8]</t>
  </si>
  <si>
    <t>TM[7]</t>
  </si>
  <si>
    <t>CL[6:4]</t>
  </si>
  <si>
    <t>BT[3]</t>
  </si>
  <si>
    <t>BL[1:0]</t>
  </si>
  <si>
    <t>DDR4 MR0</t>
  </si>
  <si>
    <t>WR[13]</t>
  </si>
  <si>
    <t>CL[12]</t>
  </si>
  <si>
    <t>CL[2]</t>
  </si>
  <si>
    <t>WR</t>
  </si>
  <si>
    <t>CL</t>
  </si>
  <si>
    <t>DDR4 MR1</t>
  </si>
  <si>
    <t>RTT_NOM[10:8]</t>
  </si>
  <si>
    <t>QOFF[12]</t>
  </si>
  <si>
    <t>TDQS[11]</t>
  </si>
  <si>
    <t>LEVEL[7]</t>
  </si>
  <si>
    <t>Reserved[6:5]</t>
  </si>
  <si>
    <t>AL[4:3]</t>
  </si>
  <si>
    <t>DIC[2:1]</t>
  </si>
  <si>
    <t>DE[0]</t>
  </si>
  <si>
    <t>DDR4 MR2</t>
  </si>
  <si>
    <t>TRR[13]</t>
  </si>
  <si>
    <t>RTTWR[11:9]</t>
  </si>
  <si>
    <t>TRR_BGn[8]</t>
  </si>
  <si>
    <t>LPASR[7:6]</t>
  </si>
  <si>
    <t>CWL[5:3]</t>
  </si>
  <si>
    <t>TRR_BG_n_[2]</t>
  </si>
  <si>
    <t>TRR_BAn[1:0]</t>
  </si>
  <si>
    <t>WRCRC[12]</t>
  </si>
  <si>
    <t>CWL</t>
  </si>
  <si>
    <t>DDR4 MR3</t>
  </si>
  <si>
    <t>MPRRF[12:11]</t>
  </si>
  <si>
    <t>WCL[10:9]</t>
  </si>
  <si>
    <t>FGRM[8:6]</t>
  </si>
  <si>
    <t>TSR[5]</t>
  </si>
  <si>
    <t>PDA[4]</t>
  </si>
  <si>
    <t>GDM[3]</t>
  </si>
  <si>
    <t>MPRO[2]</t>
  </si>
  <si>
    <t>MPRPSEL[1:0]</t>
  </si>
  <si>
    <t>DDR4 MR4</t>
  </si>
  <si>
    <t>WRP[12]</t>
  </si>
  <si>
    <t>RDP[11]</t>
  </si>
  <si>
    <t>RPTM[10]</t>
  </si>
  <si>
    <t>SRA[9]</t>
  </si>
  <si>
    <t>CS2CMDL[8:6]</t>
  </si>
  <si>
    <t>Reserved[5]</t>
  </si>
  <si>
    <t>IVM[4]</t>
  </si>
  <si>
    <t>TCRM[3]</t>
  </si>
  <si>
    <t>TCRR[2]</t>
  </si>
  <si>
    <t>MPDM[1]</t>
  </si>
  <si>
    <t>Reserved[0]</t>
  </si>
  <si>
    <t>tCAL</t>
  </si>
  <si>
    <t>CAL</t>
  </si>
  <si>
    <t>PGCR2</t>
  </si>
  <si>
    <t>CLRTSTAT[31]</t>
  </si>
  <si>
    <t>CLRZCAL[30]</t>
  </si>
  <si>
    <t>CLRPERR[29]</t>
  </si>
  <si>
    <t>ICPC[28]</t>
  </si>
  <si>
    <t>DTPMXTMR[27:20]</t>
  </si>
  <si>
    <t>INITFSMBYP[19]</t>
  </si>
  <si>
    <t>PLLFSMBYP[18]</t>
  </si>
  <si>
    <t>TREFPRD[17:0]</t>
  </si>
  <si>
    <t>DRAMTMG2</t>
  </si>
  <si>
    <t>write_latency[29:24]</t>
  </si>
  <si>
    <t>Reserved[23:22]</t>
  </si>
  <si>
    <t>read_latency[21:16]</t>
  </si>
  <si>
    <t>reserved[15:14]</t>
  </si>
  <si>
    <t>rd2wr[13:8]</t>
  </si>
  <si>
    <t>wr2rd[5:0]</t>
  </si>
  <si>
    <t>DRAMTMG1</t>
  </si>
  <si>
    <t>DRAMTMG3</t>
  </si>
  <si>
    <t>DRAMTMG4</t>
  </si>
  <si>
    <t>wr2pre[30:24]</t>
  </si>
  <si>
    <t>t_faw[21:16]</t>
  </si>
  <si>
    <t>reserved[15]</t>
  </si>
  <si>
    <t>t_ras_max[14:8]</t>
  </si>
  <si>
    <t>t_ras_min[5:0]</t>
  </si>
  <si>
    <t xml:space="preserve"> </t>
  </si>
  <si>
    <t xml:space="preserve">   </t>
  </si>
  <si>
    <t>DFI_T_CMD_LAT[31:28]</t>
  </si>
  <si>
    <t>Reserved[25:24]</t>
  </si>
  <si>
    <t>DFI_T_PARIN_LAT[25:24]</t>
  </si>
  <si>
    <t>Reserved[23:21]</t>
  </si>
  <si>
    <t>DFI_T_WRDATA_DELAY[20:16]</t>
  </si>
  <si>
    <t>DFI_T_DRAM_CLK_DISABLE[12:8]</t>
  </si>
  <si>
    <t>DFI_T_DRAM_CLK_ENABLE[4:0]</t>
  </si>
  <si>
    <t>Reserved[31:21]</t>
  </si>
  <si>
    <t>t_xp[20:16]</t>
  </si>
  <si>
    <t>rd2pre[13:8]</t>
  </si>
  <si>
    <t>t_rc[6:0]</t>
  </si>
  <si>
    <t>Reserved[7]</t>
  </si>
  <si>
    <t>Final Datasheet value (ns)</t>
  </si>
  <si>
    <t>DRAMTMG5</t>
  </si>
  <si>
    <t>DRAMTMG6</t>
  </si>
  <si>
    <t>DRAMTMG7</t>
  </si>
  <si>
    <t>DRAMTMG8</t>
  </si>
  <si>
    <t>DRAMTMG9</t>
  </si>
  <si>
    <t>ddr4_wr_preamble[30]</t>
  </si>
  <si>
    <t>Reserved[29:19]</t>
  </si>
  <si>
    <t>t_ccd_s[18:16]</t>
  </si>
  <si>
    <t>reserved[15:12]</t>
  </si>
  <si>
    <t>t_rrd_s[11:8]</t>
  </si>
  <si>
    <t>wr2rd_s[5:0]</t>
  </si>
  <si>
    <t>PL</t>
  </si>
  <si>
    <t>t_mrw[29:20]</t>
  </si>
  <si>
    <t>Reserved[19:18]</t>
  </si>
  <si>
    <t>t_mrd[17:12]</t>
  </si>
  <si>
    <t>reserved[11:10]</t>
  </si>
  <si>
    <t>t_mod[9:0]</t>
  </si>
  <si>
    <t>t_rcd[28:24]</t>
  </si>
  <si>
    <t>Reserved[23:20]</t>
  </si>
  <si>
    <t>t_ccd[19:16]</t>
  </si>
  <si>
    <t>t_rrd[11:8]</t>
  </si>
  <si>
    <t>t_rp[4:0]</t>
  </si>
  <si>
    <t>t_cksrx[27:24]</t>
  </si>
  <si>
    <t>t_cksre[19:16]</t>
  </si>
  <si>
    <t>t_ckesr[13:8]</t>
  </si>
  <si>
    <t>t_cke[4:0]</t>
  </si>
  <si>
    <t>t_ckdpde[27:24]</t>
  </si>
  <si>
    <t>t_ckdpdx[19:16]</t>
  </si>
  <si>
    <t>reserved[15:4]</t>
  </si>
  <si>
    <t>t_ckcsx[3:0]</t>
  </si>
  <si>
    <t>000000000000</t>
  </si>
  <si>
    <t>Reserved[31:12]</t>
  </si>
  <si>
    <t>00000000000000000000</t>
  </si>
  <si>
    <t>t_ckpde[11:8]</t>
  </si>
  <si>
    <t>Reserved[7:4]</t>
  </si>
  <si>
    <t>t_ckpdx[3:0]</t>
  </si>
  <si>
    <t>t_xs_fast_x32[30:24]</t>
  </si>
  <si>
    <t>t_xs_abort_x32[22:16]</t>
  </si>
  <si>
    <t>t_xs_dll_x32[14:8]</t>
  </si>
  <si>
    <t>t_xs_x32[6:0]</t>
  </si>
  <si>
    <t>DRAMTMG12</t>
  </si>
  <si>
    <t>DRAMTMG13</t>
  </si>
  <si>
    <t>DRAMTMG15</t>
  </si>
  <si>
    <t>DRAMTMG17</t>
  </si>
  <si>
    <t>post_mpsm_gap_x32[30:24]</t>
  </si>
  <si>
    <t>t_mpx_lh[20:16]</t>
  </si>
  <si>
    <t>reserved[15:10]</t>
  </si>
  <si>
    <t>t__mpx_s[9:8]</t>
  </si>
  <si>
    <t>t_ckmpe[4:0]</t>
  </si>
  <si>
    <t>Reserved[31:18]</t>
  </si>
  <si>
    <t>t_cmdcke[17:16]</t>
  </si>
  <si>
    <t>Reserved[15:5]</t>
  </si>
  <si>
    <t>t_mrd_pda[4:0]</t>
  </si>
  <si>
    <t>odtloff[30:24]</t>
  </si>
  <si>
    <t>t_ccd_mw[21:16]</t>
  </si>
  <si>
    <t>reserved[15:3]</t>
  </si>
  <si>
    <t>t_ppd[2:0]</t>
  </si>
  <si>
    <t>0000000000000</t>
  </si>
  <si>
    <t>en_dfi_lp_t_stab[31]</t>
  </si>
  <si>
    <t>reserved[30:8]</t>
  </si>
  <si>
    <t>t_stab_x32[7:0]</t>
  </si>
  <si>
    <t>00000000000000000000000</t>
  </si>
  <si>
    <t>Reserved[31:24]</t>
  </si>
  <si>
    <t>Reserved[15:7]</t>
  </si>
  <si>
    <t>t_vrcg_disable[6:0]</t>
  </si>
  <si>
    <t>t_vrcg_enable[23:16]</t>
  </si>
  <si>
    <t>00000000000000</t>
  </si>
  <si>
    <t>tCKSRX</t>
  </si>
  <si>
    <t>tCKSRE</t>
  </si>
  <si>
    <t>DDR4 MR5</t>
  </si>
  <si>
    <t>Reserved[31:15]</t>
  </si>
  <si>
    <t>Reserved[31:13]</t>
  </si>
  <si>
    <t>RDBI[12]</t>
  </si>
  <si>
    <t>WDBI[11]</t>
  </si>
  <si>
    <t>DM[10]</t>
  </si>
  <si>
    <t>CAPPE[9]</t>
  </si>
  <si>
    <t>ODTIBPD[5]</t>
  </si>
  <si>
    <t>CAPES[4]</t>
  </si>
  <si>
    <t>CRCEC[3]</t>
  </si>
  <si>
    <t>CAPM[2:0]</t>
  </si>
  <si>
    <t>0000000000000000000</t>
  </si>
  <si>
    <t>tXS_FAST</t>
  </si>
  <si>
    <t>tXS_ABORT</t>
  </si>
  <si>
    <t>tCCD_S</t>
  </si>
  <si>
    <t>tRRD_S</t>
  </si>
  <si>
    <t>tWTR_S</t>
  </si>
  <si>
    <t>tXMPDLL</t>
  </si>
  <si>
    <t>tXMP</t>
  </si>
  <si>
    <t>tMPX_LH</t>
  </si>
  <si>
    <t>tMPX_S</t>
  </si>
  <si>
    <t>tCKMPE</t>
  </si>
  <si>
    <t>tCPDED</t>
  </si>
  <si>
    <t>tMRD_PDA</t>
  </si>
  <si>
    <t>//</t>
  </si>
  <si>
    <t xml:space="preserve">  </t>
  </si>
  <si>
    <t xml:space="preserve">    </t>
  </si>
  <si>
    <t xml:space="preserve">0x00010001 </t>
  </si>
  <si>
    <t>,</t>
  </si>
  <si>
    <t>);</t>
  </si>
  <si>
    <t>/* PHY Timing Register 2 */</t>
  </si>
  <si>
    <t xml:space="preserve">/* PHY Timing Register 3 */ </t>
  </si>
  <si>
    <t xml:space="preserve">/* PHY Timing Register 4 */ </t>
  </si>
  <si>
    <t xml:space="preserve">/* PHY Timing Register 5 */ </t>
  </si>
  <si>
    <t xml:space="preserve"> /* Impedance Control Register   */ </t>
  </si>
  <si>
    <t xml:space="preserve">); </t>
  </si>
  <si>
    <t xml:space="preserve">/* Impedance Controller Program Register 0 for Calibration Segment 0 */   </t>
  </si>
  <si>
    <t xml:space="preserve">/* DRAM Timing Parameters Register 0 */ </t>
  </si>
  <si>
    <t xml:space="preserve">/* DRAM Timing Parameters Register 1 */ </t>
  </si>
  <si>
    <t xml:space="preserve">/* DRAM Timing Parameters Register 2 */ </t>
  </si>
  <si>
    <t xml:space="preserve">/* DRAM Timing Parameters Register 4 */ </t>
  </si>
  <si>
    <t xml:space="preserve">/* DRAM Timing Parameters Register 5 */ </t>
  </si>
  <si>
    <t xml:space="preserve">/* DRAM Timing Parameters Register 6 */ </t>
  </si>
  <si>
    <t xml:space="preserve">/* DRAM Configuration Register */ </t>
  </si>
  <si>
    <t xml:space="preserve">/* AC I/O Configuration Register 5 */ </t>
  </si>
  <si>
    <t xml:space="preserve">/* Rank ID Register */ </t>
  </si>
  <si>
    <t xml:space="preserve">/* DATX8 n General Timing Register 0 */ </t>
  </si>
  <si>
    <t xml:space="preserve">/* SDRAM Initialization Register 0 */ </t>
  </si>
  <si>
    <t xml:space="preserve">/* DFI Timing Register 0 */ </t>
  </si>
  <si>
    <t xml:space="preserve">/* DFI Timing Register 1 */ </t>
  </si>
  <si>
    <t xml:space="preserve">/* DFI Timing Register 2 */ </t>
  </si>
  <si>
    <t xml:space="preserve">/* CRC Parity Control Register1 */ </t>
  </si>
  <si>
    <t xml:space="preserve">/* SDRAM Timing Register 2 */ </t>
  </si>
  <si>
    <t xml:space="preserve">/* SDRAM Timing Register 3 */ </t>
  </si>
  <si>
    <t xml:space="preserve">/* Address Map Register 3 */ </t>
  </si>
  <si>
    <t xml:space="preserve">/* Address Map Register 4 */ </t>
  </si>
  <si>
    <t xml:space="preserve">/* Address Map Register 1 */ </t>
  </si>
  <si>
    <t xml:space="preserve">/* Address Map Register 8 */      </t>
  </si>
  <si>
    <t xml:space="preserve">/* Address Map Register 0 */           </t>
  </si>
  <si>
    <t xml:space="preserve">/* Address Map Register 6 */ </t>
  </si>
  <si>
    <t xml:space="preserve">/* Address Map Register 7 */ </t>
  </si>
  <si>
    <t xml:space="preserve">/* Refresh Control Register 3 */ </t>
  </si>
  <si>
    <t>0x0</t>
  </si>
  <si>
    <t xml:space="preserve">/* Subsystem Control Register */ </t>
  </si>
  <si>
    <t xml:space="preserve">/* VBUSMC2HIF Control Register*/ </t>
  </si>
  <si>
    <t xml:space="preserve">/* Address Map Register 5 */ </t>
  </si>
  <si>
    <t xml:space="preserve">/* Address Map Register 2 */ </t>
  </si>
  <si>
    <t>/* Data Training Configuration Register 0 */</t>
  </si>
  <si>
    <t xml:space="preserve">/*  */   </t>
  </si>
  <si>
    <t xml:space="preserve">/* SDRAM Timing Register 0 */ </t>
  </si>
  <si>
    <t xml:space="preserve">/* SDRAM Timing Register 1 */ </t>
  </si>
  <si>
    <t xml:space="preserve">/* SDRAM Timing Register 4 */ </t>
  </si>
  <si>
    <t xml:space="preserve">/* SDRAM Timing Register 5 */ </t>
  </si>
  <si>
    <t xml:space="preserve">/* SDRAM Timing Register 6 */ </t>
  </si>
  <si>
    <t xml:space="preserve">/* SDRAM Timing Register 7 */ </t>
  </si>
  <si>
    <t xml:space="preserve">/* SDRAM Timing Register 8 */ </t>
  </si>
  <si>
    <t xml:space="preserve">/* SDRAM Timing Register 9 */ </t>
  </si>
  <si>
    <t xml:space="preserve">/* SDRAM Timing Register 10 */ </t>
  </si>
  <si>
    <t xml:space="preserve">/* SDRAM Timing Register 11 */ </t>
  </si>
  <si>
    <t xml:space="preserve">/* SDRAM Timing Register 12 */ </t>
  </si>
  <si>
    <t xml:space="preserve">/* SDRAM Timing Register 13 */ </t>
  </si>
  <si>
    <t xml:space="preserve">/* SDRAM Timing Register 14 */ </t>
  </si>
  <si>
    <t xml:space="preserve">/* SDRAM Timing Register 15 */ </t>
  </si>
  <si>
    <t xml:space="preserve">/* SDRAM Timing Register 17 */ </t>
  </si>
  <si>
    <t>00000000000000000</t>
  </si>
  <si>
    <t>DFI_TPHY_RDCSLAT[14:8]</t>
  </si>
  <si>
    <t>DFI_TPHY_WRCSLAT[5:0]</t>
  </si>
  <si>
    <t>Reserved[31:27]</t>
  </si>
  <si>
    <t>WDQSL[26:24]</t>
  </si>
  <si>
    <t>WLSL[19:16]</t>
  </si>
  <si>
    <t>DGSL[4:0]</t>
  </si>
  <si>
    <t>DXnGTR0</t>
  </si>
  <si>
    <t>device_config[31:30]</t>
  </si>
  <si>
    <t>frequency_mode[29]</t>
  </si>
  <si>
    <t>frequency_ratio[22]</t>
  </si>
  <si>
    <t>active_logical_ranks[21:20]</t>
  </si>
  <si>
    <t>burst_rdwr[19:16]</t>
  </si>
  <si>
    <t>dll_off_mode[15]</t>
  </si>
  <si>
    <t>data_bus_width[13:12]</t>
  </si>
  <si>
    <t>geardown_mode[11]</t>
  </si>
  <si>
    <t>en_2t_timing_mode[10]</t>
  </si>
  <si>
    <t>burstchop[9]</t>
  </si>
  <si>
    <t>burst_mode[8]</t>
  </si>
  <si>
    <t>lpddr4[5]</t>
  </si>
  <si>
    <t>ddr4[4]</t>
  </si>
  <si>
    <t>lpddr3[3]</t>
  </si>
  <si>
    <t>lpddr2[2]</t>
  </si>
  <si>
    <t>mobile[1]</t>
  </si>
  <si>
    <t>ddr3[0]</t>
  </si>
  <si>
    <t>active_ranks[25:24]</t>
  </si>
  <si>
    <t>Reserved[28:26]</t>
  </si>
  <si>
    <t>t_rfc_nom_x32[27:16]</t>
  </si>
  <si>
    <t>lpddr3_trefbw_en[15]</t>
  </si>
  <si>
    <t>Reserved[14:10]</t>
  </si>
  <si>
    <t>t_rfc_min[9:0]</t>
  </si>
  <si>
    <t xml:space="preserve">/* Refresh Timing Register */ </t>
  </si>
  <si>
    <t>dfi_t_phy_rdlat[30:24]</t>
  </si>
  <si>
    <t>retry_add_rd_lat_en[15]</t>
  </si>
  <si>
    <t>reserved[14:13]</t>
  </si>
  <si>
    <t>caparity_disable_before_sr[12]</t>
  </si>
  <si>
    <t>skip_dram_init[31:30]</t>
  </si>
  <si>
    <t>reserved[29:26]</t>
  </si>
  <si>
    <t>post_cke_x1024[25:16]</t>
  </si>
  <si>
    <t>pre_cke_x1024[11:0]</t>
  </si>
  <si>
    <t>INIT0</t>
  </si>
  <si>
    <t>tRFC2</t>
  </si>
  <si>
    <t>tRFC4</t>
  </si>
  <si>
    <t>Refresh to Active/Refresh command period (2x mode)</t>
  </si>
  <si>
    <t>Refresh to Active/Refresh command period (4x mode)</t>
  </si>
  <si>
    <t xml:space="preserve">/* DATX8 Common Configuration Register */ </t>
  </si>
  <si>
    <t xml:space="preserve">/* DDR System General Configuration Register */ </t>
  </si>
  <si>
    <t xml:space="preserve">/* ODT Configuration Register for rank 1 */ </t>
  </si>
  <si>
    <t xml:space="preserve">/* ODT Configuration Register for rank 0 */ </t>
  </si>
  <si>
    <t>dis_auto_zq[31]</t>
  </si>
  <si>
    <t>dis_srx_zqcl[30]</t>
  </si>
  <si>
    <t>zq_resistor_shared[29]</t>
  </si>
  <si>
    <t>dis_mpsmx_zqcl[28]</t>
  </si>
  <si>
    <t>reserved[27]</t>
  </si>
  <si>
    <t>t_zq_short_nop[9:0]</t>
  </si>
  <si>
    <t>ZQCTL0</t>
  </si>
  <si>
    <t>reserved[31:30]</t>
  </si>
  <si>
    <t>t_zq_reset_nopl[29:20]</t>
  </si>
  <si>
    <t>t_zq_short_interval_x1024[19:0]</t>
  </si>
  <si>
    <t>tZQoper</t>
  </si>
  <si>
    <t>ZQ long calibration time</t>
  </si>
  <si>
    <t>ZQCTL1</t>
  </si>
  <si>
    <t xml:space="preserve">/* ZQ Control Register 0 */   </t>
  </si>
  <si>
    <t xml:space="preserve">/* ZQ Control Register 1 */   </t>
  </si>
  <si>
    <t xml:space="preserve">/* ODT Configuration Register */      </t>
  </si>
  <si>
    <t>reserved[31:28]</t>
  </si>
  <si>
    <t>wr_odt_hold[27:24]</t>
  </si>
  <si>
    <t>reserved[23:21]</t>
  </si>
  <si>
    <t>wr_odt_delay[20:16]</t>
  </si>
  <si>
    <t>rd_odt_hold[11:8]</t>
  </si>
  <si>
    <t>reserved[7]</t>
  </si>
  <si>
    <t>reserved[1:0]</t>
  </si>
  <si>
    <t>rd_odt_delay[6:2]</t>
  </si>
  <si>
    <t>ODTCFG</t>
  </si>
  <si>
    <t>reserved7:6]</t>
  </si>
  <si>
    <t>refrsh_margin[23:20]</t>
  </si>
  <si>
    <t>reserved[19:17]</t>
  </si>
  <si>
    <t>refresh_to_x32[16:12]</t>
  </si>
  <si>
    <t>reserved[11:9]</t>
  </si>
  <si>
    <t>reserved[3]</t>
  </si>
  <si>
    <t>per_bank_refresh[2]</t>
  </si>
  <si>
    <t>refresh_burst[8:4]</t>
  </si>
  <si>
    <t xml:space="preserve">/* Master Register 0 */ </t>
  </si>
  <si>
    <t xml:space="preserve">/* Refresh Control Register 0 */ </t>
  </si>
  <si>
    <t>RFSHCTL0</t>
  </si>
  <si>
    <t>alert_wait_for_sw[9]</t>
  </si>
  <si>
    <t>crc_parity_retry_enable[8]</t>
  </si>
  <si>
    <t>crc_inc_dm[7]</t>
  </si>
  <si>
    <t>reserved[6:5]</t>
  </si>
  <si>
    <t>crc_enable[4]</t>
  </si>
  <si>
    <t>reserved[3:1]</t>
  </si>
  <si>
    <t>parity_enable[0]</t>
  </si>
  <si>
    <t>retry_add_rd_lat[23:16]</t>
  </si>
  <si>
    <t>CRCPARCTL1</t>
  </si>
  <si>
    <t>Reserved[31:25]</t>
  </si>
  <si>
    <t>t_par_alert_pw_max[24:16]</t>
  </si>
  <si>
    <t>reserved[15:13]</t>
  </si>
  <si>
    <t>t_crc_alert_pw_max[12:8]</t>
  </si>
  <si>
    <t>reserved[7:6]</t>
  </si>
  <si>
    <t>retry_fifo_max_hold_timer_x4[5:0]</t>
  </si>
  <si>
    <t>CRCPARCTL2</t>
  </si>
  <si>
    <t>dram_rstn_x1024[24:16]</t>
  </si>
  <si>
    <t>reserved[31:25]</t>
  </si>
  <si>
    <t>pre_ocd_x32[3:0]</t>
  </si>
  <si>
    <t>INIT1</t>
  </si>
  <si>
    <t>mr[31:16]</t>
  </si>
  <si>
    <t>emr[15:0]</t>
  </si>
  <si>
    <t>emr2[31:16]</t>
  </si>
  <si>
    <t>emr3[15:0]</t>
  </si>
  <si>
    <t>reserved[31:24]</t>
  </si>
  <si>
    <t>dev_zqinit_x32[23:16]</t>
  </si>
  <si>
    <t>max_auto_init_x1024[9:0]</t>
  </si>
  <si>
    <t>mr4[31:16]</t>
  </si>
  <si>
    <t>mr5[15:0]</t>
  </si>
  <si>
    <t>mr22[31:16]</t>
  </si>
  <si>
    <t>mr6[15:0]</t>
  </si>
  <si>
    <t>tCCDL[12:10]</t>
  </si>
  <si>
    <t>VDDQTEN[7]</t>
  </si>
  <si>
    <t>VDQTRG[6]</t>
  </si>
  <si>
    <t>VDQTVAL[5:0]</t>
  </si>
  <si>
    <t xml:space="preserve">/* SDRAM Initialization Register 1 */ </t>
  </si>
  <si>
    <t xml:space="preserve">/* SDRAM Initialization Register 3 */ </t>
  </si>
  <si>
    <t xml:space="preserve">/* SDRAM Initialization Register 4 */ </t>
  </si>
  <si>
    <t xml:space="preserve">/* SDRAM Initialization Register 6 */ </t>
  </si>
  <si>
    <t xml:space="preserve">/* SDRAM Initialization Register 7 */ </t>
  </si>
  <si>
    <t xml:space="preserve">/* SDRAM Initialization Register 5 */ </t>
  </si>
  <si>
    <t xml:space="preserve">/* ODT Rank Map */      </t>
  </si>
  <si>
    <t xml:space="preserve">/* Low Power Control Register */ </t>
  </si>
  <si>
    <t xml:space="preserve">/* Sofware Register Programming Control Enable */ </t>
  </si>
  <si>
    <t xml:space="preserve">/* DFI Miscellaneous Control Register */ </t>
  </si>
  <si>
    <t>0x1</t>
  </si>
  <si>
    <t>DDR4 MR6</t>
  </si>
  <si>
    <t>RFSHDT[31:28]</t>
  </si>
  <si>
    <t>DTDRS[25:24]</t>
  </si>
  <si>
    <t>DTEXG[23]</t>
  </si>
  <si>
    <t>DTEXD[22]</t>
  </si>
  <si>
    <t>DTDEN[20]</t>
  </si>
  <si>
    <t>DTDSTP[21]</t>
  </si>
  <si>
    <t>DTDBS[19:16]</t>
  </si>
  <si>
    <t>DTRDBITR[15:14]</t>
  </si>
  <si>
    <t>DTBDC[13]</t>
  </si>
  <si>
    <t>DTWBDDM[12]</t>
  </si>
  <si>
    <t>RFSHENT[11:8]</t>
  </si>
  <si>
    <t>DTCMPD[7]</t>
  </si>
  <si>
    <t>DTMPR[6]]</t>
  </si>
  <si>
    <t>MPCWEYE[4]</t>
  </si>
  <si>
    <t>DTRPTN[3:0]</t>
  </si>
  <si>
    <t>DTCR0</t>
  </si>
  <si>
    <t>reserved[7:5]</t>
  </si>
  <si>
    <t>1F</t>
  </si>
  <si>
    <t>ADDRMAP0</t>
  </si>
  <si>
    <t>bank_b2[21:16]</t>
  </si>
  <si>
    <t>Reserved[31:22]</t>
  </si>
  <si>
    <t>cs_bit0[4:0]</t>
  </si>
  <si>
    <t>bank_b1[13:8]</t>
  </si>
  <si>
    <t>col_b5[27:24]</t>
  </si>
  <si>
    <t>reserved[23:20]</t>
  </si>
  <si>
    <t>col_b4[19:16]</t>
  </si>
  <si>
    <t>col_b3[11:8]</t>
  </si>
  <si>
    <t>reserved[7:4]</t>
  </si>
  <si>
    <t>col_b2[3:0]</t>
  </si>
  <si>
    <t>col_b9[28:24]</t>
  </si>
  <si>
    <t>col_b8[20:16]</t>
  </si>
  <si>
    <t>col_b7[12:8]</t>
  </si>
  <si>
    <t>col_b6[3:0]</t>
  </si>
  <si>
    <t>reserved[31:29]</t>
  </si>
  <si>
    <t>col_b11[12:8]</t>
  </si>
  <si>
    <t>col_b10[4:0]</t>
  </si>
  <si>
    <t>row_b11[27:24]</t>
  </si>
  <si>
    <t>row_b2_10[19:16]</t>
  </si>
  <si>
    <t>row_b1[11:8]</t>
  </si>
  <si>
    <t>row_b0[3:0]</t>
  </si>
  <si>
    <t>ADDRMAP5</t>
  </si>
  <si>
    <t>ADDRMAP4</t>
  </si>
  <si>
    <t>ADDRMAP3</t>
  </si>
  <si>
    <t>ADDRMAP2</t>
  </si>
  <si>
    <t>ADDRMAP1</t>
  </si>
  <si>
    <t>lpddr4_6gb_12gb_24gb[30:29]</t>
  </si>
  <si>
    <t>reserved[28]</t>
  </si>
  <si>
    <t>row_b15[27:24]</t>
  </si>
  <si>
    <t>row_b14[19:16]</t>
  </si>
  <si>
    <t>row_b13[11:8]</t>
  </si>
  <si>
    <t>row_b12[3:0]</t>
  </si>
  <si>
    <t>ADDRMAP6</t>
  </si>
  <si>
    <t>row_b17[11:8]</t>
  </si>
  <si>
    <t>row_b16[3:0]</t>
  </si>
  <si>
    <t>ADDRMAP7</t>
  </si>
  <si>
    <t>Reserved[31:14]</t>
  </si>
  <si>
    <t>bg_b1[13:8]</t>
  </si>
  <si>
    <t>bg_b0[5:0]</t>
  </si>
  <si>
    <t>ADDRMAP8</t>
  </si>
  <si>
    <t>row_b5[27:24]</t>
  </si>
  <si>
    <t>row_b4[19:16]</t>
  </si>
  <si>
    <t>row_b3[11:8]</t>
  </si>
  <si>
    <t>ADDRMAP9</t>
  </si>
  <si>
    <t>row_b9[27:24]</t>
  </si>
  <si>
    <t>row_b8[19:16]</t>
  </si>
  <si>
    <t>row_b7[11:8]</t>
  </si>
  <si>
    <t>row_b6[3:0]</t>
  </si>
  <si>
    <t>ADDRMAP10</t>
  </si>
  <si>
    <t>cid_b1[20:16]</t>
  </si>
  <si>
    <t>cid_b0[12:8]</t>
  </si>
  <si>
    <t>row_b10[3:0]</t>
  </si>
  <si>
    <t>ADDRMAP11</t>
  </si>
  <si>
    <t>row_b2</t>
  </si>
  <si>
    <t>000000000000000000</t>
  </si>
  <si>
    <t>Internal Base</t>
  </si>
  <si>
    <t>Value to program</t>
  </si>
  <si>
    <t>bg0</t>
  </si>
  <si>
    <t>bg1</t>
  </si>
  <si>
    <t>F</t>
  </si>
  <si>
    <t>bank_b0[5:0]</t>
  </si>
  <si>
    <t>RTTPARK[8:6]</t>
  </si>
  <si>
    <t>tWLO(max)</t>
  </si>
  <si>
    <t>t_zq_long_nop[26:16]</t>
  </si>
  <si>
    <t xml:space="preserve">/* Address Map Register 9 */      </t>
  </si>
  <si>
    <t xml:space="preserve">/* Address Map Register 10 */      </t>
  </si>
  <si>
    <t xml:space="preserve">/* Address Map Register 11 */      </t>
  </si>
  <si>
    <t>0x55AA0080</t>
  </si>
  <si>
    <t xml:space="preserve">/* PHY General Configuration Register 0*/ </t>
  </si>
  <si>
    <t xml:space="preserve">/* PHY General Configuration Register 1*/   </t>
  </si>
  <si>
    <t xml:space="preserve">/* PHY General Configuration Register 2*/  </t>
  </si>
  <si>
    <t xml:space="preserve">/* PHY General Configuration Register 3*/  </t>
  </si>
  <si>
    <t xml:space="preserve">/* PHY General Configuration Register 6*/  </t>
  </si>
  <si>
    <t>0x00013001</t>
  </si>
  <si>
    <t>0x02A0C129</t>
  </si>
  <si>
    <t xml:space="preserve">/* PLL Control Register 0 (Type B PLL Only) */   </t>
  </si>
  <si>
    <t xml:space="preserve">/* PHY Timing Register 6 */ </t>
  </si>
  <si>
    <t xml:space="preserve">/* DRAM Timing Parameters Register 3 */ </t>
  </si>
  <si>
    <t>ZQnPR1 default is ZQ VREF= 50% VDDQ for ZQ calibration*/</t>
  </si>
  <si>
    <t>Memory Driver impedance</t>
  </si>
  <si>
    <t>0x021c4000</t>
  </si>
  <si>
    <t>/* DAXT8 bytes 0-1 PLL Control Register 0 ctl_clk or REF_CLK = 400MHz */</t>
  </si>
  <si>
    <t>/* DAXT8 byte 2-3 PLL Control Register 0 ctl_clk or REF_CLK = 400MHz*/</t>
  </si>
  <si>
    <t>/* DAXT8 byte 4 PLL Control Register 0 ctl_clk or REF_CLK = 400MHz*/</t>
  </si>
  <si>
    <t>0x8000B1C7</t>
  </si>
  <si>
    <t xml:space="preserve">/* Data Training Configuration Register 1 */   </t>
  </si>
  <si>
    <t xml:space="preserve">/* DATX8 n General Configuration Register 0 */  </t>
  </si>
  <si>
    <t xml:space="preserve">/* DATX8 n General Configuration Register 1 */ </t>
  </si>
  <si>
    <t xml:space="preserve">/* DATX8 n General Configuration Register 2 */  </t>
  </si>
  <si>
    <t xml:space="preserve">/* DATX8 n General Configuration Register 3 */   </t>
  </si>
  <si>
    <t xml:space="preserve">/* DATX8 n General Configuration Register 4 */ </t>
  </si>
  <si>
    <t xml:space="preserve">/* DATX8 n General Configuration Register 4 */  </t>
  </si>
  <si>
    <t xml:space="preserve">/* DATX8 n General Configuration Register 5 */ </t>
  </si>
  <si>
    <t xml:space="preserve">/* DATX8 n General Configuration Register 5 */  </t>
  </si>
  <si>
    <t>0x00010000</t>
  </si>
  <si>
    <t xml:space="preserve">/* DATX8 0 I/O Configuration Register */ </t>
  </si>
  <si>
    <t xml:space="preserve">/* DATX8 1 I/O Configuration Register */ </t>
  </si>
  <si>
    <t xml:space="preserve">/* DATX8 2 I/O Configuration Register */ </t>
  </si>
  <si>
    <t>Write_MMR(</t>
  </si>
  <si>
    <t xml:space="preserve">Write_MMR( </t>
  </si>
  <si>
    <t>CRDEN[23]</t>
  </si>
  <si>
    <t>POSOEX[22:20]</t>
  </si>
  <si>
    <t>PREOEX[19:18]</t>
  </si>
  <si>
    <t>reserved[17]</t>
  </si>
  <si>
    <t>IOAG[16]</t>
  </si>
  <si>
    <t>IOLB[15]</t>
  </si>
  <si>
    <t>LPWAKEUP_THR[12:9]</t>
  </si>
  <si>
    <t>C</t>
  </si>
  <si>
    <t>RDBI[8]</t>
  </si>
  <si>
    <t>RDMODE[5:4]</t>
  </si>
  <si>
    <t>DX8SLmnDXCTL2</t>
  </si>
  <si>
    <t>reserved[0]</t>
  </si>
  <si>
    <t>DQSGLB[2:1]</t>
  </si>
  <si>
    <t>DISRST[3]</t>
  </si>
  <si>
    <t>PRFBYP[6]</t>
  </si>
  <si>
    <t>WDBI[7]</t>
  </si>
  <si>
    <t xml:space="preserve">/* DATX8 0 Data Control Register */ </t>
  </si>
  <si>
    <t xml:space="preserve">/* DATX8 1 Data Control Register */ </t>
  </si>
  <si>
    <t xml:space="preserve">/* DATX8 2 Data Control Register */ </t>
  </si>
  <si>
    <t>DDRSS_DDRCTL_ECCCFG0</t>
  </si>
  <si>
    <t>DDRSS_DDRCTL_CRCPARCTL0</t>
  </si>
  <si>
    <t>DDRSS_DDRCTL_DRAMTMG10</t>
  </si>
  <si>
    <t>DDRSS_DDRCTL_DRAMTMG14</t>
  </si>
  <si>
    <t>DDRSS_DDRCTL_ADDRMAP0</t>
  </si>
  <si>
    <t>DDRSS_DDRCTL_ADDRMAP1</t>
  </si>
  <si>
    <t>DDRSS_DDRCTL_ADDRMAP2</t>
  </si>
  <si>
    <t>DDRSS_DDRCTL_ADDRMAP3</t>
  </si>
  <si>
    <t>DDRSS_DDRCTL_ADDRMAP4</t>
  </si>
  <si>
    <t>DDRSS_DDRCTL_ADDRMAP5</t>
  </si>
  <si>
    <t>DDRSS_DDRCTL_ADDRMAP6</t>
  </si>
  <si>
    <t>DDRSS_DDRCTL_ADDRMAP7</t>
  </si>
  <si>
    <t>DDRSS_DDRCTL_ADDRMAP8</t>
  </si>
  <si>
    <t>DDRSS_DDRCTL_ADDRMAP9</t>
  </si>
  <si>
    <t>DDRSS_DDRCTL_ADDRMAP10</t>
  </si>
  <si>
    <t>DDRSS_DDRCTL_ADDRMAP11</t>
  </si>
  <si>
    <t>DDRSS_DDRCTL_ODTMAP</t>
  </si>
  <si>
    <t>DDRSS_DDRCTL_RFSHCTL3</t>
  </si>
  <si>
    <t>Read_MMR(DDRSS_DDRCTL_RFSHCTL3) | 0x1</t>
  </si>
  <si>
    <t>DDRSS_DDRCTL_PWRCTL</t>
  </si>
  <si>
    <t>Read_MMR(DDRSS_DDRCTL_PWRCTL) &amp; ~0x2</t>
  </si>
  <si>
    <t>DDRSS_DDRCTL_SWCTL</t>
  </si>
  <si>
    <t>DDRSS_DDRCTL_DFIMISC</t>
  </si>
  <si>
    <t>Read_MMR(DDRSS_DDRCTL_DFIMISC) &amp; ~0x1</t>
  </si>
  <si>
    <t>DDRSS_V2H_CTL_REG</t>
  </si>
  <si>
    <t>DDRSS_DDRPHY_PGCR0</t>
  </si>
  <si>
    <t>DDRSS_DDRPHY_PGCR1</t>
  </si>
  <si>
    <t>DDRSS_DDRPHY_PGCR3</t>
  </si>
  <si>
    <t>DDRSS_DDRPHY_PGCR5</t>
  </si>
  <si>
    <t>DDRSS_DDRPHY_PGCR6</t>
  </si>
  <si>
    <t>DDRSS_DDRPHY_PTR2</t>
  </si>
  <si>
    <t>DDRSS_DDRPHY_PTR3</t>
  </si>
  <si>
    <t>DDRSS_DDRPHY_PTR4</t>
  </si>
  <si>
    <t>DDRSS_DDRPHY_PTR5</t>
  </si>
  <si>
    <t>DDRSS_DDRPHY_PTR6</t>
  </si>
  <si>
    <t>DDRSS_DDRPHY_PLLCR0</t>
  </si>
  <si>
    <t>DDRSS_DDRPHY_DXCCR</t>
  </si>
  <si>
    <t>DDRSS_DDRPHY_DSGCR</t>
  </si>
  <si>
    <t>DDRSS_DDRPHY_DCR</t>
  </si>
  <si>
    <t>DDRSS_DDRPHY_ZQCR</t>
  </si>
  <si>
    <t>DDRSS_DDRPHY_VTCR0</t>
  </si>
  <si>
    <t>DDRSS_DDRPHY_DX8SL0PLLCR0</t>
  </si>
  <si>
    <t>DDRSS_DDRPHY_DX8SL1PLLCR0</t>
  </si>
  <si>
    <t>DDRSS_DDRPHY_DX8SL2PLLCR0</t>
  </si>
  <si>
    <t>DDRSS_DDRPHY_DTCR0</t>
  </si>
  <si>
    <t>DDRSS_DDRPHY_DTCR1</t>
  </si>
  <si>
    <t>DDRSS_DDRPHY_ACIOCR5</t>
  </si>
  <si>
    <t>DDRSS_DDRPHY_IOVCR0</t>
  </si>
  <si>
    <t>DDRSS_DDRPHY_DX2GCR0</t>
  </si>
  <si>
    <t>DDRSS_DDRPHY_DX3GCR0</t>
  </si>
  <si>
    <t>DDRSS_DDRPHY_DX4GCR0</t>
  </si>
  <si>
    <t>DDRSS_DDRPHY_DX4GCR1</t>
  </si>
  <si>
    <t>DDRSS_DDRPHY_DX4GCR2</t>
  </si>
  <si>
    <t>DDRSS_DDRPHY_DX0GCR4</t>
  </si>
  <si>
    <t>DDRSS_DDRPHY_DX1GCR4</t>
  </si>
  <si>
    <t>DDRSS_DDRPHY_DX2GCR4</t>
  </si>
  <si>
    <t>DDRSS_DDRPHY_DX3GCR4</t>
  </si>
  <si>
    <t>DDRSS_DDRPHY_DX0GCR5</t>
  </si>
  <si>
    <t>DDRSS_DDRPHY_DX1GCR5</t>
  </si>
  <si>
    <t>DDRSS_DDRPHY_DX2GCR5</t>
  </si>
  <si>
    <t>DDRSS_DDRPHY_DX3GCR5</t>
  </si>
  <si>
    <t>DDRSS_DDRPHY_RANKIDR</t>
  </si>
  <si>
    <t>DDRSS_DDRPHY_DX0GTR0</t>
  </si>
  <si>
    <t>DDRSS_DDRPHY_DX1GTR0</t>
  </si>
  <si>
    <t>DDRSS_DDRPHY_DX2GTR0</t>
  </si>
  <si>
    <t>DDRSS_DDRPHY_DX3GTR0</t>
  </si>
  <si>
    <t>DDRSS_DDRPHY_ODTCR</t>
  </si>
  <si>
    <t>DDRSS_DDRPHY_DX8SL0IOCR</t>
  </si>
  <si>
    <t>DDRSS_DDRPHY_DX8SL1IOCR</t>
  </si>
  <si>
    <t>DDRSS_DDRPHY_DX8SL2IOCR</t>
  </si>
  <si>
    <t>DDRSS_DDRPHY_DX8SL0DXCTL2</t>
  </si>
  <si>
    <t>DDRSS_DDRPHY_DX8SL1DXCTL2</t>
  </si>
  <si>
    <t>DDRSS_DDRPHY_DX8SL2DXCTL2</t>
  </si>
  <si>
    <t>DDRSS_DDRPHY_DTPR0</t>
  </si>
  <si>
    <t>DDRSS_DDRPHY_DTPR1</t>
  </si>
  <si>
    <t>DDRSS_DDRPHY_DTPR2</t>
  </si>
  <si>
    <t>DDRSS_DDRPHY_DTPR3</t>
  </si>
  <si>
    <t>DDRSS_DDRPHY_DTPR4</t>
  </si>
  <si>
    <t>DDRSS_DDRPHY_DTPR5</t>
  </si>
  <si>
    <t>DDRSS_DDRPHY_DTPR6</t>
  </si>
  <si>
    <t>DDRSS_DDRPHY_MR0_DDR4</t>
  </si>
  <si>
    <t>DDRSS_DDRPHY_MR1_DDR4</t>
  </si>
  <si>
    <t>DDRSS_DDRPHY_MR2_DDR4</t>
  </si>
  <si>
    <t>DDRSS_DDRPHY_MR3_DDR4</t>
  </si>
  <si>
    <t>DDRSS_DDRPHY_MR4_DDR4</t>
  </si>
  <si>
    <t>DDRSS_DDRPHY_MR5_DDR4</t>
  </si>
  <si>
    <t>DDRSS_DDRPHY_MR6_DDR4</t>
  </si>
  <si>
    <t>DDRSS_DDRPHY_PGCR2</t>
  </si>
  <si>
    <t>DDRSS_DDRPHY_DXnGTR0</t>
  </si>
  <si>
    <t>DDRSS_DDRPHY_DX8SLmnDXCTL2</t>
  </si>
  <si>
    <t>DDRSS_DDRCTL_MSTR</t>
  </si>
  <si>
    <t>DDRSS_DDRCTL_RFSHTMG</t>
  </si>
  <si>
    <t>DDRSS_DDRCTL_DFITMG0</t>
  </si>
  <si>
    <t>DDRSS_DDRCTL_DFITMG1</t>
  </si>
  <si>
    <t>DDRSS_DDRCTL_DFITMG2</t>
  </si>
  <si>
    <t>DDRSS_DDRCTL_DRAMTMG0</t>
  </si>
  <si>
    <t>DDRSS_DDRCTL_DRAMTMG1</t>
  </si>
  <si>
    <t>DDRSS_DDRCTL_DRAMTMG2</t>
  </si>
  <si>
    <t>DDRSS_DDRCTL_DRAMTMG3</t>
  </si>
  <si>
    <t>DDRSS_DDRCTL_DRAMTMG4</t>
  </si>
  <si>
    <t>DDRSS_DDRCTL_DRAMTMG5</t>
  </si>
  <si>
    <t>DDRSS_DDRCTL_DRAMTMG6</t>
  </si>
  <si>
    <t>DDRSS_DDRCTL_DRAMTMG7</t>
  </si>
  <si>
    <t>DDRSS_DDRCTL_DRAMTMG8</t>
  </si>
  <si>
    <t>DDRSS_DDRCTL_DRAMTMG9</t>
  </si>
  <si>
    <t>DDRSS_DDRCTL_DRAMTMG11</t>
  </si>
  <si>
    <t>DDRSS_DDRCTL_DRAMTMG12</t>
  </si>
  <si>
    <t>DDRSS_DDRCTL_DRAMTMG13</t>
  </si>
  <si>
    <t>DDRSS_DDRCTL_DRAMTMG15</t>
  </si>
  <si>
    <t>DDRSS_DDRCTL_DRAMTMG17</t>
  </si>
  <si>
    <t>DDRSS_DDRCTL_INIT0</t>
  </si>
  <si>
    <t>DDRSS_DDRCTL_INIT1</t>
  </si>
  <si>
    <t>DDRSS_DDRCTL_INIT3</t>
  </si>
  <si>
    <t>DDRSS_DDRCTL_INIT4</t>
  </si>
  <si>
    <t>DDRSS_DDRCTL_INIT5</t>
  </si>
  <si>
    <t>DDRSS_DDRCTL_INIT6</t>
  </si>
  <si>
    <t>DDRSS_DDRCTL_INIT7</t>
  </si>
  <si>
    <t>DDRSS_DDRCTL_ZQCTL0</t>
  </si>
  <si>
    <t>DDRSS_DDRCTL_ZQCTL1</t>
  </si>
  <si>
    <t>DDRSS_DDRCTL_ODTCFG</t>
  </si>
  <si>
    <t>DDRSS_DDRCTL_RFSHCTL0</t>
  </si>
  <si>
    <t>DDRSS_DDRCTL_CRCPARCTL1</t>
  </si>
  <si>
    <t>DDRSS_DDRCTL_CRCPARCTL2</t>
  </si>
  <si>
    <t>DDRSS_SS_CTL_REG</t>
  </si>
  <si>
    <t>DDRSS_DDRPHY_DX8SLxIOCR</t>
  </si>
  <si>
    <t>HIF Address bit</t>
  </si>
  <si>
    <t>col0</t>
  </si>
  <si>
    <t>col1</t>
  </si>
  <si>
    <t>col2</t>
  </si>
  <si>
    <t>col3</t>
  </si>
  <si>
    <t>col4</t>
  </si>
  <si>
    <t>col5</t>
  </si>
  <si>
    <t>col6</t>
  </si>
  <si>
    <t>col7</t>
  </si>
  <si>
    <t>col8</t>
  </si>
  <si>
    <t>col9</t>
  </si>
  <si>
    <t>col10</t>
  </si>
  <si>
    <t>col11</t>
  </si>
  <si>
    <t>row0</t>
  </si>
  <si>
    <t>row1</t>
  </si>
  <si>
    <t>row2</t>
  </si>
  <si>
    <t>row3</t>
  </si>
  <si>
    <t>row4</t>
  </si>
  <si>
    <t>row5</t>
  </si>
  <si>
    <t>row6</t>
  </si>
  <si>
    <t>row7</t>
  </si>
  <si>
    <t>row8</t>
  </si>
  <si>
    <t>row9</t>
  </si>
  <si>
    <t>row10</t>
  </si>
  <si>
    <t>row11</t>
  </si>
  <si>
    <t>row12</t>
  </si>
  <si>
    <t>row13</t>
  </si>
  <si>
    <t>row14</t>
  </si>
  <si>
    <t>row15</t>
  </si>
  <si>
    <t>row16</t>
  </si>
  <si>
    <t>row17</t>
  </si>
  <si>
    <t>bank0</t>
  </si>
  <si>
    <t>bank1</t>
  </si>
  <si>
    <t>bank2</t>
  </si>
  <si>
    <t>cs0</t>
  </si>
  <si>
    <t>DDR3L/LPDDR4</t>
  </si>
  <si>
    <t>disable refeshes to get ready for PHY initialization and training</t>
  </si>
  <si>
    <t>0x020046C0</t>
  </si>
  <si>
    <t>-----------------------------------------------------------------------------</t>
  </si>
  <si>
    <t>Perform DDR subsystem configuration</t>
  </si>
  <si>
    <t>Perform DDR controller configuration</t>
  </si>
  <si>
    <t xml:space="preserve">-----------------------------------------------------------------------------                        </t>
  </si>
  <si>
    <t xml:space="preserve">Configure DRAM Initialization registers                                                                            </t>
  </si>
  <si>
    <t>Configure PHY Initialization Registers</t>
  </si>
  <si>
    <t>MRS Command Cycle Time</t>
  </si>
  <si>
    <t>MRS command update delay</t>
  </si>
  <si>
    <t>FIrst DQS_t, DQS_c rising edge after write leveling mode is programmed</t>
  </si>
  <si>
    <t>DLL locking time</t>
  </si>
  <si>
    <t>Exit Reset from CKE high to valid command</t>
  </si>
  <si>
    <t>CSn to command address latency</t>
  </si>
  <si>
    <t>Parity Latency</t>
  </si>
  <si>
    <t>CASn to CASn command delay to different bank group</t>
  </si>
  <si>
    <t>CASn to CASn command delay to same bank group</t>
  </si>
  <si>
    <t>Valid clocks before self refresh exit (SRX) or power-down exit (PDX), or reset exit</t>
  </si>
  <si>
    <t>Valid clocks after self refresh entry (SRE) or power-down entry (PDE)</t>
  </si>
  <si>
    <t xml:space="preserve">Exit self refresh to ZQCL, ZQCS and MRS </t>
  </si>
  <si>
    <t>ACTIVATE-to-ACTIVATE command period to different bank groups</t>
  </si>
  <si>
    <t>Delay from start of internal WRITE transaction to internal READ command - different bank group</t>
  </si>
  <si>
    <t>Exit MPSM to commands requiring a locked DLL</t>
  </si>
  <si>
    <t>Exit MPSM to command not requiring a locked DLL</t>
  </si>
  <si>
    <t>CSn LOW hold time to CKE rising edge</t>
  </si>
  <si>
    <t>CS setup time to CKE</t>
  </si>
  <si>
    <t>Valid clock requirement after MPSM entry</t>
  </si>
  <si>
    <t>Command Pass Disable Delay</t>
  </si>
  <si>
    <t>MRS command cycle time in PDA mode</t>
  </si>
  <si>
    <t>Write leveling output delay</t>
  </si>
  <si>
    <t>Pulse width of ALERTn signal when asserted</t>
  </si>
  <si>
    <t>CRC error to ALERTn latency</t>
  </si>
  <si>
    <t>RESET pulse width during power-up</t>
  </si>
  <si>
    <t>ZQCL command: Long calibration time, power-up and reset operation</t>
  </si>
  <si>
    <t>cs1</t>
  </si>
  <si>
    <t>Final values</t>
  </si>
  <si>
    <t>col_b2</t>
  </si>
  <si>
    <t>col_b3</t>
  </si>
  <si>
    <t>col_b4</t>
  </si>
  <si>
    <t>col_b5</t>
  </si>
  <si>
    <t>col_b6</t>
  </si>
  <si>
    <t>col_b7</t>
  </si>
  <si>
    <t>col_b8</t>
  </si>
  <si>
    <t>col_b9</t>
  </si>
  <si>
    <t>col_b10</t>
  </si>
  <si>
    <t>col_b11</t>
  </si>
  <si>
    <t>row_b0</t>
  </si>
  <si>
    <t>row_b1</t>
  </si>
  <si>
    <t>row_b3</t>
  </si>
  <si>
    <t>row_b4</t>
  </si>
  <si>
    <t>row_b5</t>
  </si>
  <si>
    <t>row_b6</t>
  </si>
  <si>
    <t>row_b7</t>
  </si>
  <si>
    <t>row_b8</t>
  </si>
  <si>
    <t>row_b9</t>
  </si>
  <si>
    <t>row_b10</t>
  </si>
  <si>
    <t>row_b11</t>
  </si>
  <si>
    <t>row_b12</t>
  </si>
  <si>
    <t>row_b13</t>
  </si>
  <si>
    <t>row_b14</t>
  </si>
  <si>
    <t>row_b15</t>
  </si>
  <si>
    <t>row_b16</t>
  </si>
  <si>
    <t>row_b17</t>
  </si>
  <si>
    <t>bank_b0</t>
  </si>
  <si>
    <t>bank_b1</t>
  </si>
  <si>
    <t>bg_b0</t>
  </si>
  <si>
    <t>bg_b1</t>
  </si>
  <si>
    <t>cs_bit0</t>
  </si>
  <si>
    <t>cs_bit1</t>
  </si>
  <si>
    <t>bank_b2</t>
  </si>
  <si>
    <t>DDR4 signal name</t>
  </si>
  <si>
    <t>DDR3L /LPDDR4 signal name</t>
  </si>
  <si>
    <t>are b2-b10 equal?</t>
  </si>
  <si>
    <t>Ideal VREF %</t>
  </si>
  <si>
    <t>Ideal VREF</t>
  </si>
  <si>
    <t xml:space="preserve">VOL </t>
  </si>
  <si>
    <t>VOH (VDDQ)</t>
  </si>
  <si>
    <t>At DRAM during WRITE:</t>
  </si>
  <si>
    <t>VOH (VDDS_DDR)</t>
  </si>
  <si>
    <t>VDDQ-((((VDDQ*Rodt)/(RON+Rodt)))/2)</t>
  </si>
  <si>
    <t>DC- logic levels with above settings</t>
  </si>
  <si>
    <t>Vref (%)</t>
  </si>
  <si>
    <t>Vref (V)</t>
  </si>
  <si>
    <t>VDDS</t>
  </si>
  <si>
    <t>RTT</t>
  </si>
  <si>
    <t>RON</t>
  </si>
  <si>
    <t>WRITE</t>
  </si>
  <si>
    <t>DRAM</t>
  </si>
  <si>
    <t>READ</t>
  </si>
  <si>
    <t>EVM</t>
  </si>
  <si>
    <t>MR6[6]</t>
  </si>
  <si>
    <t>closest without over</t>
  </si>
  <si>
    <t>Delta</t>
  </si>
  <si>
    <t>Ideal VREF for DRAM</t>
  </si>
  <si>
    <t>MR6[6] value for DRAM</t>
  </si>
  <si>
    <t>MR6[5:0] value for DRAM</t>
  </si>
  <si>
    <t>MR6[5:0]</t>
  </si>
  <si>
    <t>VREF %</t>
  </si>
  <si>
    <t>REFRANGE</t>
  </si>
  <si>
    <t>DXREFSSEL</t>
  </si>
  <si>
    <t>DXREFSSELRANGE</t>
  </si>
  <si>
    <t>Ideal VREF for AM65x</t>
  </si>
  <si>
    <t>At AM65x during READ:</t>
  </si>
  <si>
    <t>This is the observed VREF (signals are attenuated /2 internally)</t>
  </si>
  <si>
    <t>This is the setting to be used (signals are attenuated /2 internally)</t>
  </si>
  <si>
    <t>Register values</t>
  </si>
  <si>
    <t>Register Values</t>
  </si>
  <si>
    <t>AM65x</t>
  </si>
  <si>
    <t>Read to write command timing</t>
  </si>
  <si>
    <t>not in DDR3</t>
  </si>
  <si>
    <t>DDRSS_DDRPHY_DXnGCR4</t>
  </si>
  <si>
    <t>DXREFPEN[28]</t>
  </si>
  <si>
    <t>DXREFEEN[27:26]</t>
  </si>
  <si>
    <t>DXREFSEN[25]</t>
  </si>
  <si>
    <t>reserved[24]</t>
  </si>
  <si>
    <t>DXREFESELRANGE[23]</t>
  </si>
  <si>
    <t>DXREFESEL[22:16]</t>
  </si>
  <si>
    <t>DXREFSSELRANGE[15]</t>
  </si>
  <si>
    <t>DXREFSSEL[14:8]</t>
  </si>
  <si>
    <t>DXREFIEN[5:2]</t>
  </si>
  <si>
    <t>DXREFIMON[1:0]</t>
  </si>
  <si>
    <t>DDRSS_DDRPHY_DX4GCR4</t>
  </si>
  <si>
    <t>{</t>
  </si>
  <si>
    <t>DDRSS_DDRPHY_DX2GCR1</t>
  </si>
  <si>
    <t>DDRSS_DDRPHY_DX2GCR2</t>
  </si>
  <si>
    <t xml:space="preserve">DDRSS_DDRPHY_DX2GCR3 </t>
  </si>
  <si>
    <t>0x55556000</t>
  </si>
  <si>
    <t>DDRSS_DDRPHY_DX3GCR1</t>
  </si>
  <si>
    <t>DDRSS_DDRPHY_DX3GCR2</t>
  </si>
  <si>
    <t xml:space="preserve">DDRSS_DDRPHY_DX3GCR3 </t>
  </si>
  <si>
    <t>}</t>
  </si>
  <si>
    <t>DDRSS_DDRPHY_DX4GCR5</t>
  </si>
  <si>
    <t xml:space="preserve">DDRSS_DDRPHY_DX4GCR3 </t>
  </si>
  <si>
    <t>DDRSS_DDRPHY_DX4GTR0</t>
  </si>
  <si>
    <t>DDRSS_DDRPHY_DXnGCR5</t>
  </si>
  <si>
    <t>DXREFISELR3[30:24]</t>
  </si>
  <si>
    <t>DXREFISELR0[6:0]</t>
  </si>
  <si>
    <t>DXREFISELR1[14:8]</t>
  </si>
  <si>
    <t>DXREFISELR2[22:16]</t>
  </si>
  <si>
    <t>FRQBT[31:24]</t>
  </si>
  <si>
    <t>FRQAT[23:16]</t>
  </si>
  <si>
    <t>DISCNPERIOD[15:8]</t>
  </si>
  <si>
    <t>VREF_RBCTRL[7:4]</t>
  </si>
  <si>
    <t>Reserved[3]</t>
  </si>
  <si>
    <t>DXREFISELRANGE[2]</t>
  </si>
  <si>
    <t>DDLPGACT[1]</t>
  </si>
  <si>
    <t>DDLPGRW[0]</t>
  </si>
  <si>
    <t xml:space="preserve">VREF RD DQS gate = </t>
  </si>
  <si>
    <t>%</t>
  </si>
  <si>
    <t>ZPROG</t>
  </si>
  <si>
    <t>Output Impedance</t>
  </si>
  <si>
    <t>Register Value</t>
  </si>
  <si>
    <t>DDRSS_DDRPHY_ZQ0PR0</t>
  </si>
  <si>
    <t>PD_DRV_ZDEN[31]</t>
  </si>
  <si>
    <t>PU_DRV_ZDEN[30]</t>
  </si>
  <si>
    <t>PD_ODT_ZDEN[29]</t>
  </si>
  <si>
    <t>PU_ODT_ZDEN[28]</t>
  </si>
  <si>
    <t>ZSEGBYP[27]</t>
  </si>
  <si>
    <t>ZLE_MODE[26:25]</t>
  </si>
  <si>
    <t>ODT_ADJUST[24:22]</t>
  </si>
  <si>
    <t>PD_DRV_ADJUST[21:19]</t>
  </si>
  <si>
    <t>PU_DRV_ADJUST[18:16]</t>
  </si>
  <si>
    <t>ZPROG_DRAM_ODT[15:12]</t>
  </si>
  <si>
    <t>ZPROG_HOST_ODT[11:8]</t>
  </si>
  <si>
    <t>ZPROG_ASYM_PD_DRV[7:4]</t>
  </si>
  <si>
    <t>ZPROG_ASYM_PU_DRV[3:0]</t>
  </si>
  <si>
    <t>disabled</t>
  </si>
  <si>
    <t>RZQ/1</t>
  </si>
  <si>
    <t>RZQ/5</t>
  </si>
  <si>
    <t>RZQ/3</t>
  </si>
  <si>
    <t>ohm</t>
  </si>
  <si>
    <t>Enable ECC</t>
  </si>
  <si>
    <t>Reserved[31:23]</t>
  </si>
  <si>
    <t>tDINIT0[22:0]</t>
  </si>
  <si>
    <t>tDINIT1[12:0]</t>
  </si>
  <si>
    <t>Reserved[31:19]</t>
  </si>
  <si>
    <t>tDINIT2[18:0]</t>
  </si>
  <si>
    <t>tDINIT3[11:0]</t>
  </si>
  <si>
    <t>Reserved[19:12]</t>
  </si>
  <si>
    <t>tDINIT4[26:20]</t>
  </si>
  <si>
    <t>GEARDN[31]</t>
  </si>
  <si>
    <t>UBG[30]</t>
  </si>
  <si>
    <t>UDIMM[29]</t>
  </si>
  <si>
    <t>DDR2T[28]</t>
  </si>
  <si>
    <t>NOSRA[27]</t>
  </si>
  <si>
    <t>Reserved[26:18]</t>
  </si>
  <si>
    <t>BYTEMASK[17:10]</t>
  </si>
  <si>
    <t>DDRTYPE[9:8]</t>
  </si>
  <si>
    <t>MPRDQ[7]</t>
  </si>
  <si>
    <t>PDQ[6:4]</t>
  </si>
  <si>
    <t>DDR8BNK[3]</t>
  </si>
  <si>
    <t>DDRMD[2:0]</t>
  </si>
  <si>
    <t>tMOD (DDR4)</t>
  </si>
  <si>
    <t>tMOD (DDR3)</t>
  </si>
  <si>
    <t>DDR3 MR0</t>
  </si>
  <si>
    <t>DDRSS_DDRPHY_MR0_DDR3</t>
  </si>
  <si>
    <t>DDR3 MR1</t>
  </si>
  <si>
    <t>DDRSS_DDRPHY_MR1_DDR3</t>
  </si>
  <si>
    <t>DDR3 MR2</t>
  </si>
  <si>
    <t>DDRSS_DDRPHY_MR2_DDR3</t>
  </si>
  <si>
    <t>DDR3 MR3</t>
  </si>
  <si>
    <t>DDRSS_DDRPHY_MR3_DDR3</t>
  </si>
  <si>
    <t>CL_2[2]</t>
  </si>
  <si>
    <t>PD[12]</t>
  </si>
  <si>
    <t>DIC_1[1]</t>
  </si>
  <si>
    <t>RTT_2[2]</t>
  </si>
  <si>
    <t>DIC_5[5]</t>
  </si>
  <si>
    <t>RTT_6[6]</t>
  </si>
  <si>
    <t>Reserved[8]</t>
  </si>
  <si>
    <t>RTT_9[9]</t>
  </si>
  <si>
    <t>Reserved[10]</t>
  </si>
  <si>
    <t>DDR4 VREF values for MR6</t>
  </si>
  <si>
    <t>Rtt</t>
  </si>
  <si>
    <t>Rtt_1</t>
  </si>
  <si>
    <t>Rtt_0</t>
  </si>
  <si>
    <t>Rtt_2</t>
  </si>
  <si>
    <t>PASR[2:0]</t>
  </si>
  <si>
    <t>ASR[6]</t>
  </si>
  <si>
    <t>SRT[7]</t>
  </si>
  <si>
    <t>RTTWR[10:9]</t>
  </si>
  <si>
    <t>Reserved[31:11]</t>
  </si>
  <si>
    <t>000000000000000000000</t>
  </si>
  <si>
    <t>Reserved[15:3]</t>
  </si>
  <si>
    <t>MPRLOC[1:0]</t>
  </si>
  <si>
    <t>MPR[2]</t>
  </si>
  <si>
    <t>ACVREFIOM[27:25]</t>
  </si>
  <si>
    <t>ACXIOM[24:22]</t>
  </si>
  <si>
    <t>ACTXM[21:11]</t>
  </si>
  <si>
    <t>ACRXM[10:0]</t>
  </si>
  <si>
    <t>Reserved[31:26]</t>
  </si>
  <si>
    <t>ZQREFISELRANGE[25]</t>
  </si>
  <si>
    <t>PGWAIT_FRQB[24:19]</t>
  </si>
  <si>
    <t>PGWAIT_FRQA[18:13]</t>
  </si>
  <si>
    <t>ZQREFPEN[12]</t>
  </si>
  <si>
    <t>ODT/ Rtt</t>
  </si>
  <si>
    <t>1E) DDR controller I/O settings (termination / output driver impedance):</t>
  </si>
  <si>
    <t>tXPDLL</t>
  </si>
  <si>
    <t>Precharge power-down with DLLoff to commands requiring locked DLL</t>
  </si>
  <si>
    <t>Bit field value</t>
  </si>
  <si>
    <t>tZQinit</t>
  </si>
  <si>
    <t>ODT_MODE[10:9]</t>
  </si>
  <si>
    <t>FORCE_ZCAL_VT_UPDATE[8]</t>
  </si>
  <si>
    <t>IODLMT[7:5]</t>
  </si>
  <si>
    <t>AVGEN[4]</t>
  </si>
  <si>
    <t>AVGMAX[3:2]</t>
  </si>
  <si>
    <t>ZQPD[0]</t>
  </si>
  <si>
    <t>ZCALT[1]</t>
  </si>
  <si>
    <t>ZQREFIEN[11]</t>
  </si>
  <si>
    <t>AM65x ODT =</t>
  </si>
  <si>
    <t xml:space="preserve">/* PHY General Configuration Register 5*/ </t>
  </si>
  <si>
    <t xml:space="preserve">        unsigned int i;</t>
  </si>
  <si>
    <t>hotmenu DDR_Controller_PHY_Config()</t>
  </si>
  <si>
    <t>Reserved[31:20]</t>
  </si>
  <si>
    <t>DTRANK[13:12]</t>
  </si>
  <si>
    <t>RDLVLGDIFF[10:8]</t>
  </si>
  <si>
    <t>RDLVLGS[6:4]</t>
  </si>
  <si>
    <t>RDPRMVL_TRN[2]</t>
  </si>
  <si>
    <t>RDLVLEN[1]</t>
  </si>
  <si>
    <t>BSTEN[0]</t>
  </si>
  <si>
    <t>DTCR1</t>
  </si>
  <si>
    <t>RANKEN[19:16]</t>
  </si>
  <si>
    <t>Reserved[11]</t>
  </si>
  <si>
    <t>RKLOOP[29]</t>
  </si>
  <si>
    <t>Reserved[28:7]</t>
  </si>
  <si>
    <t>0000000000000000000000</t>
  </si>
  <si>
    <t>DQS2DQMPER[5:3]</t>
  </si>
  <si>
    <t>Reserved[2:0]</t>
  </si>
  <si>
    <t>DRAMTMG0</t>
  </si>
  <si>
    <t>VREF DQS and DQ =</t>
  </si>
  <si>
    <t>closest value greater or equal</t>
  </si>
  <si>
    <t>#</t>
  </si>
  <si>
    <t>define</t>
  </si>
  <si>
    <t>ECC</t>
  </si>
  <si>
    <t>Memory</t>
  </si>
  <si>
    <t>GCR2</t>
  </si>
  <si>
    <t>GCR3</t>
  </si>
  <si>
    <t>DDR3/DDR4</t>
  </si>
  <si>
    <t>No ECC</t>
  </si>
  <si>
    <t>Byte2</t>
  </si>
  <si>
    <t>Byte3</t>
  </si>
  <si>
    <t>Byte4</t>
  </si>
  <si>
    <t>GCR0</t>
  </si>
  <si>
    <t>GCR1</t>
  </si>
  <si>
    <t>Selection</t>
  </si>
  <si>
    <t>PGCR0</t>
  </si>
  <si>
    <t>ADCP[31]</t>
  </si>
  <si>
    <t>Reserved[30:27]</t>
  </si>
  <si>
    <t>PHYFRST[26]</t>
  </si>
  <si>
    <t>OSCACDL[25:24]</t>
  </si>
  <si>
    <t>Reserved[23:19]</t>
  </si>
  <si>
    <t>DTOSEL[18:14]</t>
  </si>
  <si>
    <t>Reserved[13]</t>
  </si>
  <si>
    <t>OSCDIV[12:9]</t>
  </si>
  <si>
    <t>OSCEN[8]</t>
  </si>
  <si>
    <t>Reserved[7:0]</t>
  </si>
  <si>
    <t>tWLWPRE</t>
  </si>
  <si>
    <t>tWLDLYS[19:15]</t>
  </si>
  <si>
    <t>tCALH[14:10]</t>
  </si>
  <si>
    <t>tCALS[9:5]</t>
  </si>
  <si>
    <t>tCALON[4:0]</t>
  </si>
  <si>
    <t>tZQLAT</t>
  </si>
  <si>
    <t>tVRCG_ENABLE</t>
  </si>
  <si>
    <t>tVRCG_DISABLE</t>
  </si>
  <si>
    <t>tCMDCKE</t>
  </si>
  <si>
    <t>tODTUP</t>
  </si>
  <si>
    <t>tVRCG</t>
  </si>
  <si>
    <t>tDQSCKmin</t>
  </si>
  <si>
    <t>LPDDR4 MR3</t>
  </si>
  <si>
    <t>LPDDR4 MR2</t>
  </si>
  <si>
    <t>LPDDR4 MR1</t>
  </si>
  <si>
    <t>WR-PRE[2]</t>
  </si>
  <si>
    <t>RD-PRE[3]</t>
  </si>
  <si>
    <t>nWR[6:4]</t>
  </si>
  <si>
    <t>Reserved[31:8]</t>
  </si>
  <si>
    <t>000000000000000000000000</t>
  </si>
  <si>
    <t>RDPST[7]</t>
  </si>
  <si>
    <t>BL</t>
  </si>
  <si>
    <t>RL[2:0]</t>
  </si>
  <si>
    <t>WL[5:3]</t>
  </si>
  <si>
    <t>WLS[6]</t>
  </si>
  <si>
    <t>WRLev[7]</t>
  </si>
  <si>
    <t>PU-CAL[0]</t>
  </si>
  <si>
    <t>WR-PST[1]</t>
  </si>
  <si>
    <t>Reserved[2]</t>
  </si>
  <si>
    <t>PDDS[5:3]</t>
  </si>
  <si>
    <t>DBI-RD[6]</t>
  </si>
  <si>
    <t>DBI-WR[7]</t>
  </si>
  <si>
    <t>LPDDR4 MR11</t>
  </si>
  <si>
    <t>DQODT[2:0]</t>
  </si>
  <si>
    <t>CAODT[6:4]</t>
  </si>
  <si>
    <t>Reserved[31:7]</t>
  </si>
  <si>
    <t>0000000000000000000000000</t>
  </si>
  <si>
    <t>LPDDR4 MR12</t>
  </si>
  <si>
    <t>VREF(CA)[5:0]</t>
  </si>
  <si>
    <t>VR-CA[6]</t>
  </si>
  <si>
    <t>LPDDR4 MR13</t>
  </si>
  <si>
    <t>CBT[0]</t>
  </si>
  <si>
    <t>RPT[1]</t>
  </si>
  <si>
    <t>VRO[2]</t>
  </si>
  <si>
    <t>VRCG[3]</t>
  </si>
  <si>
    <t>RRO[4]</t>
  </si>
  <si>
    <t>DMD[5]</t>
  </si>
  <si>
    <t>FSP-WR[6]</t>
  </si>
  <si>
    <t>FSP-OP[7]</t>
  </si>
  <si>
    <t>LPDDR4 MR14</t>
  </si>
  <si>
    <t>VREF(DQ)[5:0]</t>
  </si>
  <si>
    <t>VREF(DQ Range)[6]</t>
  </si>
  <si>
    <t>LPDDR4 MR22</t>
  </si>
  <si>
    <t>Reserved[31:6]</t>
  </si>
  <si>
    <t>00000000000000000000000000</t>
  </si>
  <si>
    <t>ODTD-CA[5]</t>
  </si>
  <si>
    <t>ODTE-CS[4]</t>
  </si>
  <si>
    <t>ODTE-CK[3]</t>
  </si>
  <si>
    <t>CODT[2:0]</t>
  </si>
  <si>
    <t>DDRSS_DDRPHY_VTCR</t>
  </si>
  <si>
    <t>tVREF[31:29]</t>
  </si>
  <si>
    <t>DVEN[28]</t>
  </si>
  <si>
    <t>PDAEN[27]</t>
  </si>
  <si>
    <t>Reserved[26]</t>
  </si>
  <si>
    <t>VWCR[25:22]</t>
  </si>
  <si>
    <t>DVSS[21:18]</t>
  </si>
  <si>
    <t>DVMAX[17:12]</t>
  </si>
  <si>
    <t>DVMIN[11:6]</t>
  </si>
  <si>
    <t>DVINIT[5:0]</t>
  </si>
  <si>
    <t xml:space="preserve">/* DDR Mode Register */ </t>
  </si>
  <si>
    <t>tCKELPD</t>
  </si>
  <si>
    <t>LPDDR4 only (set to 0 if parameter doesn't exist)</t>
  </si>
  <si>
    <t>tMRWCKEL</t>
  </si>
  <si>
    <t>tMRW</t>
  </si>
  <si>
    <t>tCKCKEH</t>
  </si>
  <si>
    <t>tCKELCK</t>
  </si>
  <si>
    <t>tSR</t>
  </si>
  <si>
    <t>tESCKE</t>
  </si>
  <si>
    <t>tODTLoff</t>
  </si>
  <si>
    <t>tCCDMW</t>
  </si>
  <si>
    <t>tPPD</t>
  </si>
  <si>
    <t>t_xsr[11:0]</t>
  </si>
  <si>
    <t>reserved[31:12]</t>
  </si>
  <si>
    <t>tZQCAL</t>
  </si>
  <si>
    <t>tZQReset</t>
  </si>
  <si>
    <t xml:space="preserve">/* switch polarity of CS signals for LPDDR4*/           </t>
  </si>
  <si>
    <t>Write Preamble for write leveling</t>
  </si>
  <si>
    <t>ZQCAL Latch to next valid command interval</t>
  </si>
  <si>
    <t>VREF high current mode enable time</t>
  </si>
  <si>
    <t>VREF high current mode disable time</t>
  </si>
  <si>
    <t>Delay from valid command to CKE input LOW</t>
  </si>
  <si>
    <t>DQS output access time from CK_t/CK_c</t>
  </si>
  <si>
    <t>CA ODT value update time</t>
  </si>
  <si>
    <t>Burst Length</t>
  </si>
  <si>
    <t>tRPST</t>
  </si>
  <si>
    <t>Read Postamble</t>
  </si>
  <si>
    <t>Valid CS requirement after CKE input HIGH</t>
  </si>
  <si>
    <t>MRW command period</t>
  </si>
  <si>
    <t>Valid Clock requirement before CKE Input High</t>
  </si>
  <si>
    <t>Valid Clock requirement after CKE input Low</t>
  </si>
  <si>
    <t>Minimum self refresh time (entry to exit)</t>
  </si>
  <si>
    <t>Delay from SRE command to CKE input low</t>
  </si>
  <si>
    <t>ODTLoff Latency</t>
  </si>
  <si>
    <t>CAS-to-CAS delay masked write</t>
  </si>
  <si>
    <t>Precharge to Precharge delay</t>
  </si>
  <si>
    <t>ZQCAL START to ZQCAL LATCH command interval</t>
  </si>
  <si>
    <t>ZQCAL RESET to next valid command interval</t>
  </si>
  <si>
    <t>tODTLon</t>
  </si>
  <si>
    <t>ODTLon Latency</t>
  </si>
  <si>
    <t>DDR Total Data Bus Width</t>
  </si>
  <si>
    <t>Comments</t>
  </si>
  <si>
    <t>DDR3 only</t>
  </si>
  <si>
    <t>DDR4 only</t>
  </si>
  <si>
    <t>AM65x, DRA80xM</t>
  </si>
  <si>
    <t>DDR3L, DDR4, LPDDR4</t>
  </si>
  <si>
    <t>AM65x/DRA80xM EMIF Register Configuration Tool</t>
  </si>
  <si>
    <t>AM65x/DRA80xM EMIF Register Configuration Tool - Step 1, System Details</t>
  </si>
  <si>
    <t>Maximum time interval between clock and DQS</t>
  </si>
  <si>
    <t xml:space="preserve">/* ECC Configuration Register*/ </t>
  </si>
  <si>
    <t>uncorrected_err_threshold[27:24]</t>
  </si>
  <si>
    <t>overall_parity_threshold[23:20]</t>
  </si>
  <si>
    <t>blk_wr_idle_time[19:16]</t>
  </si>
  <si>
    <t>ecc_region_map[14:8]</t>
  </si>
  <si>
    <t>eccap_intr_en[7]</t>
  </si>
  <si>
    <t>eccap_en[6]</t>
  </si>
  <si>
    <t>inline_ecc_en[5]</t>
  </si>
  <si>
    <t>dis_scrub[4]</t>
  </si>
  <si>
    <t>test_mode[3]</t>
  </si>
  <si>
    <t>ecc_mode[2:0]</t>
  </si>
  <si>
    <t>ecc_hole_lock[15]</t>
  </si>
  <si>
    <t>Ideal VREF(V)</t>
  </si>
  <si>
    <t>DDR VREF for AM65x (Table 6-20 "Internally Generated VREF Values" in PHY Spec)</t>
  </si>
  <si>
    <t>DDR4 VREF values for MR14</t>
  </si>
  <si>
    <t>MR14[5:0]</t>
  </si>
  <si>
    <t>MR14[6]</t>
  </si>
  <si>
    <t>MR14[6] value for DRAM</t>
  </si>
  <si>
    <t>MR14[5:0] value for DRAM</t>
  </si>
  <si>
    <t>Assumes MR3[0]=1</t>
  </si>
  <si>
    <t>No attenuation on LPDDR4</t>
  </si>
  <si>
    <t>DDR bus width (single device)</t>
  </si>
  <si>
    <t>DDRSS_DDRPHY_MR1</t>
  </si>
  <si>
    <t>DDRSS_DDRPHY_MR2</t>
  </si>
  <si>
    <t>DDRSS_DDRPHY_MR3</t>
  </si>
  <si>
    <t>DDRSS_DDRPHY_MR11</t>
  </si>
  <si>
    <t>DDRSS_DDRPHY_MR12</t>
  </si>
  <si>
    <t>DDRSS_DDRPHY_MR13</t>
  </si>
  <si>
    <t>DDRSS_DDRPHY_MR14</t>
  </si>
  <si>
    <t>DDRSS_DDRPHY_MR22</t>
  </si>
  <si>
    <t>// SPDX-License-Identifier: GPL-2.0+</t>
  </si>
  <si>
    <t>/*</t>
  </si>
  <si>
    <t>0xAAAA0000</t>
  </si>
  <si>
    <t>0xFFE18587</t>
  </si>
  <si>
    <t>0x40700204</t>
  </si>
  <si>
    <t>0x00007FFF</t>
  </si>
  <si>
    <t>0xFFC0010B</t>
  </si>
  <si>
    <t>bits</t>
  </si>
  <si>
    <t xml:space="preserve">/* DQ Map Register 0 */      </t>
  </si>
  <si>
    <t>DDRSS_DDRCTL_DQMAP0</t>
  </si>
  <si>
    <t>DDRSS_DDRCTL_DQMAP1</t>
  </si>
  <si>
    <t>DDRSS_DDRCTL_DQMAP4</t>
  </si>
  <si>
    <t>DDRSS_DDRCTL_DQMAP5</t>
  </si>
  <si>
    <t xml:space="preserve">/* DQ Map Register 1 */      </t>
  </si>
  <si>
    <t xml:space="preserve">/* DQ Map Register 4 */      </t>
  </si>
  <si>
    <t xml:space="preserve">/* DQ Map Register 5 */      </t>
  </si>
  <si>
    <t>DDRSS_DDRPHY_MR0</t>
  </si>
  <si>
    <t>DDRSS_DDRPHY_MR4</t>
  </si>
  <si>
    <t>DDRSS_DDRPHY_MR5</t>
  </si>
  <si>
    <t>DDRSS_DDRPHY_MR6</t>
  </si>
  <si>
    <t>dfi_frequency[12:8]</t>
  </si>
  <si>
    <t>dfi_init_start[5]</t>
  </si>
  <si>
    <t>ctl_idle_en[4]</t>
  </si>
  <si>
    <t>share_dfi_dram_clk_disable[3]</t>
  </si>
  <si>
    <t>dfi_data_cs_polarity[2]</t>
  </si>
  <si>
    <t>phy_dbi_mode[1]</t>
  </si>
  <si>
    <t>dfi_init_complete_en[0]</t>
  </si>
  <si>
    <t>0x00008000</t>
  </si>
  <si>
    <t xml:space="preserve">/* CRC Parity Control Register0 */ </t>
  </si>
  <si>
    <t xml:space="preserve">/* CRC Parity Control Register2 */ </t>
  </si>
  <si>
    <t xml:space="preserve">Deassert core reset, also setup LPDDR4 with ECC if needed                                                                                 </t>
  </si>
  <si>
    <t xml:space="preserve">/* Impedance Controller Program Register 0 for Calibration Segment 1 */   </t>
  </si>
  <si>
    <t>//these registers values will change depending on data bus width and ECC enable</t>
  </si>
  <si>
    <t>For DDR4, Disable Basic Gate Training (BSTEN=0) in DTCR1, and set PREOEX = 1.5 dram clocks and Static Read Mode</t>
  </si>
  <si>
    <t>Half_Bus_Width</t>
  </si>
  <si>
    <t>Enable_ECC</t>
  </si>
  <si>
    <t xml:space="preserve">/* Power Control Register */      </t>
  </si>
  <si>
    <t>DDRSS_DDRPHY_DX0GCR0</t>
  </si>
  <si>
    <t>DDRSS_DDRPHY_DX0GCR1</t>
  </si>
  <si>
    <t>DDRSS_DDRPHY_DX0GCR2</t>
  </si>
  <si>
    <t xml:space="preserve">DDRSS_DDRPHY_DX0GCR3 </t>
  </si>
  <si>
    <t>DDRSS_DDRPHY_DX1GCR0</t>
  </si>
  <si>
    <t>DDRSS_DDRPHY_DX1GCR1</t>
  </si>
  <si>
    <t>DDRSS_DDRPHY_DX1GCR2</t>
  </si>
  <si>
    <t>DDRSS_DDRPHY_DX1GCR3</t>
  </si>
  <si>
    <t>DDRSS_DDRPHY_ZQ1PR0</t>
  </si>
  <si>
    <t>0x001C180A</t>
  </si>
  <si>
    <t xml:space="preserve">    Write_MMR(</t>
  </si>
  <si>
    <t>else</t>
  </si>
  <si>
    <t>DDRSS_DDRCTL_RANKCTL</t>
  </si>
  <si>
    <t xml:space="preserve">/* Rank Control Register */      </t>
  </si>
  <si>
    <t>0x40703220</t>
  </si>
  <si>
    <t>0x00020002</t>
  </si>
  <si>
    <t>DDR_PLL_FREQUENCY</t>
  </si>
  <si>
    <t>ODT turn-on/turn-off delays (use larger of the two values)</t>
  </si>
  <si>
    <t>tRAS(max)</t>
  </si>
  <si>
    <t>tPAR_ALERT_PW(max)</t>
  </si>
  <si>
    <t>tCRC_ALERT_PW(max)</t>
  </si>
  <si>
    <t>Additive Latency</t>
  </si>
  <si>
    <t>AL</t>
  </si>
  <si>
    <t>NOPOP</t>
  </si>
  <si>
    <t>not in LPDDR4</t>
  </si>
  <si>
    <t xml:space="preserve"> * Configuration Parameters</t>
  </si>
  <si>
    <t xml:space="preserve"> * http://www.ti.com/lit/pdf/spracj0</t>
  </si>
  <si>
    <t xml:space="preserve"> * Memory Type:</t>
  </si>
  <si>
    <t xml:space="preserve"> * Data Rate:</t>
  </si>
  <si>
    <t xml:space="preserve"> * ECC Enabled:</t>
  </si>
  <si>
    <t xml:space="preserve"> * Data Width:</t>
  </si>
  <si>
    <t xml:space="preserve"> */</t>
  </si>
  <si>
    <t>Memory_Type</t>
  </si>
  <si>
    <t>DDR_Memory_Frequency</t>
  </si>
  <si>
    <t>DDR_device_width</t>
  </si>
  <si>
    <t>DDR_Width</t>
  </si>
  <si>
    <t>ECC_Enable</t>
  </si>
  <si>
    <t>Data_Rate</t>
  </si>
  <si>
    <t>DDR_Density</t>
  </si>
  <si>
    <t>Number_of_Rows</t>
  </si>
  <si>
    <t>Number_of_Columns</t>
  </si>
  <si>
    <t>DDR_ODT_value</t>
  </si>
  <si>
    <t>DDR_DynRtt_value</t>
  </si>
  <si>
    <t>DDR_ODI_value</t>
  </si>
  <si>
    <t>col1 and col0 are fixed and cannot be changed</t>
  </si>
  <si>
    <t>DDR4 lists per HIF signal</t>
  </si>
  <si>
    <t>Range Selection</t>
  </si>
  <si>
    <t>Valid values check</t>
  </si>
  <si>
    <t>Save your configuration to a file using this button</t>
  </si>
  <si>
    <t>Load a saved configuration from a file using this button</t>
  </si>
  <si>
    <r>
      <rPr>
        <b/>
        <u/>
        <sz val="10"/>
        <color rgb="FFFF0000"/>
        <rFont val="Times New Roman"/>
        <family val="1"/>
      </rPr>
      <t>Note</t>
    </r>
    <r>
      <rPr>
        <b/>
        <sz val="10"/>
        <color rgb="FFFF0000"/>
        <rFont val="Times New Roman"/>
        <family val="1"/>
      </rPr>
      <t>: Values highlighted in red indicate a value that is not supported.  These values must be changed!</t>
    </r>
  </si>
  <si>
    <t>AM65x/DRA80xM EMIF Register Configuration Tool - Step 3, Address Mapping</t>
  </si>
  <si>
    <t>AM65x/DRA80xM EMIF Register Configuration Tool - Step 2, DDR Timing</t>
  </si>
  <si>
    <r>
      <t>1) Review the DDR datasheet and provide the "</t>
    </r>
    <r>
      <rPr>
        <i/>
        <sz val="10"/>
        <color theme="0"/>
        <rFont val="Times New Roman"/>
        <family val="1"/>
      </rPr>
      <t>Datasheet Values</t>
    </r>
    <r>
      <rPr>
        <sz val="10"/>
        <color theme="0"/>
        <rFont val="Times New Roman"/>
        <family val="1"/>
      </rPr>
      <t>" for the corresponding parameters listed in the table in Step 2A.</t>
    </r>
  </si>
  <si>
    <t>2) Enter values in either tCK units or ns units, or both if provided, for each timing entry.  Only cells highlighted in yellow need to be entered.  White cells will be calculated.</t>
  </si>
  <si>
    <t>3) Parameters not applicable to your device (see Comments) should be left blank or set to zero</t>
  </si>
  <si>
    <r>
      <t>4) The "</t>
    </r>
    <r>
      <rPr>
        <i/>
        <sz val="10"/>
        <color theme="0"/>
        <rFont val="Times New Roman"/>
        <family val="1"/>
      </rPr>
      <t>Final Datasheet Value</t>
    </r>
    <r>
      <rPr>
        <sz val="10"/>
        <color theme="0"/>
        <rFont val="Times New Roman"/>
        <family val="1"/>
      </rPr>
      <t>" are used to calculate the register values. These are auto-populated based off of the user provided "</t>
    </r>
    <r>
      <rPr>
        <i/>
        <sz val="10"/>
        <color theme="0"/>
        <rFont val="Times New Roman"/>
        <family val="1"/>
      </rPr>
      <t>Datasheet Values</t>
    </r>
    <r>
      <rPr>
        <sz val="10"/>
        <color theme="0"/>
        <rFont val="Times New Roman"/>
        <family val="1"/>
      </rPr>
      <t>"</t>
    </r>
  </si>
  <si>
    <t>Enter in your specific system application details.  Only cells highlighted in yellow need to be entered.  Recommended values are provided for steps 1C and 1D.</t>
  </si>
  <si>
    <t>2) Each bit has a drop down menu with possible values.  Address bits 0 and 1 (col0 and col1) are fixed and cannot be changed</t>
  </si>
  <si>
    <t>4) Ensure all cells are green (except for NA) when completed</t>
  </si>
  <si>
    <t>1) Enter the desired address mapping.  A default address mapping is provided</t>
  </si>
  <si>
    <t>3) The cell will turn green if  the value is one of the possible values for that address bit, and is not duplicated.  If the cell is white, it need to be changed (except for NA bits)</t>
  </si>
  <si>
    <t xml:space="preserve">Use this button to export GEL file </t>
  </si>
  <si>
    <t>Use this button to export a uboot .dtsi file</t>
  </si>
  <si>
    <t>-Removed redundant write to ECCCFG in GEL file
-added three registers to uboot structure:
DDRSS_DDRCTL_DFIMISC                                                                                                                                                                                                                                                                DDRSS_DDRPHY_PTR2                                                                                                                                                                                                                                                                DDRSS_SS_CTL_REG
-changed uboot structure and now all values derived from GEL.  Simplified GEL to remove decision making for ECC and x16
-added save/load buttons to save off configuration to file, and load configuration from file
-refined addrmap choices per HIF bit
-aligned with uboot.  Output can now be directly used.</t>
  </si>
  <si>
    <t>tODTon(min)</t>
  </si>
  <si>
    <t>ODT turn-on/turn-off delays (minimum)</t>
  </si>
  <si>
    <t>Memory Type</t>
  </si>
  <si>
    <t>Refer to http://www.ti.com/lit/pdf/spracj0 for further details on completing this spreadsheet</t>
  </si>
  <si>
    <t>Total number of banks</t>
  </si>
  <si>
    <t>DDRSS_DDRPHY_ACIOCR3</t>
  </si>
  <si>
    <t>PAROEMODE[31:30]</t>
  </si>
  <si>
    <t>BGOEMODE[29:26]</t>
  </si>
  <si>
    <t>BAOEMODE[25:22]</t>
  </si>
  <si>
    <t>A17OEMODE[21:20]</t>
  </si>
  <si>
    <t>A16OEMODE[19:18]</t>
  </si>
  <si>
    <t>ACTOEMODE[17:16]</t>
  </si>
  <si>
    <t>Reserved[15:8]</t>
  </si>
  <si>
    <t>CKOEMODE[7:0]</t>
  </si>
  <si>
    <t xml:space="preserve">/* AC I/O Configuration Register 3 */ </t>
  </si>
  <si>
    <t>Total_number_of_banks</t>
  </si>
  <si>
    <t>if( ((Read_MMR(DDRSS_DDRCTL_ECCCFG0) &amp; 0x7) == 0x4) &amp;&amp; ((Read_MMR(DDRSS_DDRCTL_MSTR) &amp; 0x20) == 0x20))</t>
  </si>
  <si>
    <t>Refer to SPRACJ0 for instructions on completing this spreadsheet</t>
  </si>
  <si>
    <t>Write Latency</t>
  </si>
  <si>
    <t>-added Number of banks parameter to support 16-bit configurations
-added ACIOCR3 write to GEL.  This can disable BG1, which is needed for 16bit configurations.  Did not add this parameter to uboot output
-enhanced default memory mappings
-fixed address map to allow for col_b11. col_b10 is not used by DDR3, DDR4 or LPDDR4
-fixing tRTW so that it is calculated from other parameters</t>
  </si>
  <si>
    <t>tXSDLL</t>
  </si>
  <si>
    <t>DDR_Rank</t>
  </si>
  <si>
    <t>LPDDR4 lists per HIF signal</t>
  </si>
  <si>
    <t>Write Preamble</t>
  </si>
  <si>
    <t>programmed into MR4, not in DDR3.  For LPDDR4, use tWPRE(min)</t>
  </si>
  <si>
    <t>programmed into MR4, not in DDR3. For LPDDR4, use tRPRE(min)</t>
  </si>
  <si>
    <t>Read Preamble</t>
  </si>
  <si>
    <t>tWPRE</t>
  </si>
  <si>
    <t>tRPRE</t>
  </si>
  <si>
    <t>fixing LPDDR4 details for write and read preamble</t>
  </si>
  <si>
    <t>Write_Latency_(WL)</t>
  </si>
  <si>
    <t>fixed Read to Write timing for all DDR types</t>
  </si>
  <si>
    <t>fixed GCR registers for 16bit ECC and nonECC</t>
  </si>
  <si>
    <t>made LPDDR4 compatible for 1600MT/s.  Even though we don't support this publically, this will be used for char</t>
  </si>
  <si>
    <t>fixed PL and AL symbols to refer to restrict just in terms of tCK.  Changed ns column to NOPOP</t>
  </si>
  <si>
    <t>0x00007F7F</t>
  </si>
  <si>
    <t>0x00007F3F</t>
  </si>
  <si>
    <t>fixed issue with ECC byte training.  Limited ECC byte to 7 bits for 32-bit and 6-bits for 16-bit in GCR registers</t>
  </si>
  <si>
    <t>added ACIOCR3 to uboot tab</t>
  </si>
  <si>
    <t>changed tRTW from ns to tCK column.  The formula is in terms of clock cycles</t>
  </si>
  <si>
    <t>fixed bug with ACIOCR3.BGOEMODE bits.  Was enabling BG1 and disabling BG0 for x16 devices.  Needed to be the other way around</t>
  </si>
  <si>
    <t>noted tCKESR is not in LPDDR4, and fixed its formula to max(tCKE,tSR).  PW_RESET_L changes to PW_RESET in LPDDR4</t>
  </si>
  <si>
    <t>for LPDDR4, use tRPab</t>
  </si>
  <si>
    <t>rmw_en[31]</t>
  </si>
  <si>
    <t>Reserved[30:17]</t>
  </si>
  <si>
    <t>crit_thresh[16:12]</t>
  </si>
  <si>
    <t>Reserved[11:10]</t>
  </si>
  <si>
    <t>sdram_idx[9:5]</t>
  </si>
  <si>
    <t>region_idx[4:0]</t>
  </si>
  <si>
    <t>Reserved[31:5]</t>
  </si>
  <si>
    <t>000000000000000000000000000</t>
  </si>
  <si>
    <t>1.0</t>
  </si>
  <si>
    <t>1.1</t>
  </si>
  <si>
    <t>1.2</t>
  </si>
  <si>
    <t>1.3</t>
  </si>
  <si>
    <t>1.4</t>
  </si>
  <si>
    <t>1.5</t>
  </si>
  <si>
    <t>1.6</t>
  </si>
  <si>
    <t>1.7</t>
  </si>
  <si>
    <t>1.8</t>
  </si>
  <si>
    <t>1.9</t>
  </si>
  <si>
    <t>1.91</t>
  </si>
  <si>
    <t>1.92</t>
  </si>
  <si>
    <t>1.93</t>
  </si>
  <si>
    <t>1.94</t>
  </si>
  <si>
    <t>fixed RMW bit in V2H_CTL_REG so RMW=1 when ECC enabled.  Created #define for the register: https://jira.itg.ti.com/browse/MAXWELLAPPS-3139
removed dch_bit0 and cs_bit1 https://jira.itg.ti.com/browse/MAXWELLAPPS-3225
added error pop up for invalid values in DDR Timing tab : https://jira.itg.ti.com/browse/MAXWELLAPPS-3127</t>
  </si>
  <si>
    <t>Possible ODT values</t>
  </si>
  <si>
    <t>Possible Output Impedance values</t>
  </si>
  <si>
    <t>AM65x DDR4</t>
  </si>
  <si>
    <t>AM65x DDR3L</t>
  </si>
  <si>
    <t>Clock</t>
  </si>
  <si>
    <t>DQS</t>
  </si>
  <si>
    <t>DWC_D5MC3L_34_SR01</t>
  </si>
  <si>
    <t>DWC_D5MC3L_34_SR10</t>
  </si>
  <si>
    <t>DWC_D5MC3L_34_SR11</t>
  </si>
  <si>
    <t xml:space="preserve">DWC_D5MC3L_34     </t>
  </si>
  <si>
    <t>DWC_D5MC3L_40_SR01</t>
  </si>
  <si>
    <t>DWC_D5MC3L_40_SR10</t>
  </si>
  <si>
    <t>DWC_D5MC3L_40_SR11</t>
  </si>
  <si>
    <t xml:space="preserve">DWC_D5MC3L_40     </t>
  </si>
  <si>
    <t>DDR3L DWC_D5M_PCK cell  Z0=34-Ohm Driver</t>
  </si>
  <si>
    <t>DDR3L DWC_D5M_PCK cell  Z0=40-Ohm Driver</t>
  </si>
  <si>
    <t>DDR3L DWC_D5M_PCK cell  Z0=34-Ohm Driver SR=01</t>
  </si>
  <si>
    <t>DDR3L DWC_D5M_PCK cell  Z0=34-Ohm Driver SR=10</t>
  </si>
  <si>
    <t>DDR3L DWC_D5M_PCK cell  Z0=34-Ohm Driver SR=11</t>
  </si>
  <si>
    <t>DDR3L DWC_D5M_PCK cell  Z0=40-Ohm Driver SR=01</t>
  </si>
  <si>
    <t>DDR3L DWC_D5M_PCK cell  Z0=40-Ohm Driver SR=10</t>
  </si>
  <si>
    <t>DDR3L DWC_D5M_PCK cell  Z0=40-Ohm Driver SR=11</t>
  </si>
  <si>
    <t xml:space="preserve">DWC_D5MC4_34      </t>
  </si>
  <si>
    <t xml:space="preserve">DWC_D5MC4_34_SR01 </t>
  </si>
  <si>
    <t xml:space="preserve">DWC_D5MC4_34_SR10 </t>
  </si>
  <si>
    <t xml:space="preserve">DWC_D5MC4_34_SR11 </t>
  </si>
  <si>
    <t xml:space="preserve">DWC_D5MC4_48      </t>
  </si>
  <si>
    <t xml:space="preserve">DWC_D5MC4_48_SR01 </t>
  </si>
  <si>
    <t xml:space="preserve">DWC_D5MC4_48_SR10 </t>
  </si>
  <si>
    <t xml:space="preserve">DWC_D5MC4_48_SR11 </t>
  </si>
  <si>
    <t>DDR4 DWC_D5M_PCKE cell  Z0=34-Ohm Driver</t>
  </si>
  <si>
    <t xml:space="preserve">DDR4 DWC_D5M_PCKE cell  Z0=34-Ohm Driver SR=01 </t>
  </si>
  <si>
    <t>DDR4 DWC_D5M_PCKE cell  Z0=34-Ohm Driver SR=10</t>
  </si>
  <si>
    <t>DDR4 DWC_D5M_PCKE cell  Z0=34-Ohm Driver SR=11</t>
  </si>
  <si>
    <t>DDR4 DWC_D5M_PCKE cell  Z0=48-Ohm Driver</t>
  </si>
  <si>
    <t xml:space="preserve">DDR4 DWC_D5M_PCKE cell  Z0=48-Ohm Driver SR=01 </t>
  </si>
  <si>
    <t xml:space="preserve">DDR4 DWC_D5M_PCKE cell  Z0=48-Ohm Driver SR=10 </t>
  </si>
  <si>
    <t>DDR4 DWC_D5M_PCKE cell  Z0=48-Ohm Driver SR=11</t>
  </si>
  <si>
    <t xml:space="preserve">DWC_D5MCL4_40       </t>
  </si>
  <si>
    <t xml:space="preserve">DWC_D5MCL4_40_SR01  </t>
  </si>
  <si>
    <t xml:space="preserve">DWC_D5MCL4_40_SR10  </t>
  </si>
  <si>
    <t xml:space="preserve">DWC_D5MCL4_40_SR11  </t>
  </si>
  <si>
    <t xml:space="preserve">DWC_D5MCL4_60       </t>
  </si>
  <si>
    <t xml:space="preserve">DWC_D5MCL4_60_SR01  </t>
  </si>
  <si>
    <t xml:space="preserve">DWC_D5MCL4_60_SR10  </t>
  </si>
  <si>
    <t xml:space="preserve">DWC_D5MCL4_60_SR11  </t>
  </si>
  <si>
    <t xml:space="preserve">DWC_D5MCL4_48       </t>
  </si>
  <si>
    <t xml:space="preserve">DWC_D5MCL4_48_SR01  </t>
  </si>
  <si>
    <t xml:space="preserve">DWC_D5MCL4_48_SR10  </t>
  </si>
  <si>
    <t xml:space="preserve">DWC_D5MCL4_48_SR11  </t>
  </si>
  <si>
    <t xml:space="preserve">DWC_D5MCL4_80       </t>
  </si>
  <si>
    <t xml:space="preserve">DWC_D5MCL4_80_SR01  </t>
  </si>
  <si>
    <t xml:space="preserve">DWC_D5MCL4_80_SR10  </t>
  </si>
  <si>
    <t xml:space="preserve">DWC_D5MCL4_80_SR11  </t>
  </si>
  <si>
    <t xml:space="preserve">DWC_D5MCL4_96       </t>
  </si>
  <si>
    <t xml:space="preserve">DWC_D5MCL4_96_SR01  </t>
  </si>
  <si>
    <t xml:space="preserve">DWC_D5MCL4_96_SR10  </t>
  </si>
  <si>
    <t xml:space="preserve">DWC_D5MCL4_96_SR11  </t>
  </si>
  <si>
    <t xml:space="preserve">DWC_D5MCL4_120      </t>
  </si>
  <si>
    <t xml:space="preserve">DWC_D5MCL4_120_SR01 </t>
  </si>
  <si>
    <t xml:space="preserve">DWC_D5MCL4_120_SR10 </t>
  </si>
  <si>
    <t xml:space="preserve">DWC_D5MCL4_120_SR11 </t>
  </si>
  <si>
    <t xml:space="preserve">DWC_D5MCL4_160      </t>
  </si>
  <si>
    <t xml:space="preserve">DWC_D5MCL4_160_SR01 </t>
  </si>
  <si>
    <t xml:space="preserve">DWC_D5MCL4_160_SR10 </t>
  </si>
  <si>
    <t xml:space="preserve">DWC_D5MCL4_160_SR11 </t>
  </si>
  <si>
    <t xml:space="preserve">DWC_D5MCL4_180      </t>
  </si>
  <si>
    <t xml:space="preserve">DWC_D5MCL4_180_SR01 </t>
  </si>
  <si>
    <t xml:space="preserve">DWC_D5MCL4_180_SR10 </t>
  </si>
  <si>
    <t xml:space="preserve">DWC_D5MCL4_180_SR11 </t>
  </si>
  <si>
    <t xml:space="preserve">DWC_D5MCL4_240      </t>
  </si>
  <si>
    <t xml:space="preserve">DWC_D5MCL4_240_SR01 </t>
  </si>
  <si>
    <t xml:space="preserve">DWC_D5MCL4_240_SR10 </t>
  </si>
  <si>
    <t xml:space="preserve">DWC_D5MCL4_240_SR11 </t>
  </si>
  <si>
    <t xml:space="preserve">DWC_D5MCL4_360      </t>
  </si>
  <si>
    <t xml:space="preserve">DWC_D5MCL4_360_SR01 </t>
  </si>
  <si>
    <t xml:space="preserve">DWC_D5MCL4_360_SR10 </t>
  </si>
  <si>
    <t xml:space="preserve">DWC_D5MCL4_360_SR11 </t>
  </si>
  <si>
    <t xml:space="preserve">DWC_D5MCL4_480      </t>
  </si>
  <si>
    <t xml:space="preserve">DWC_D5MCL4_480_SR01 </t>
  </si>
  <si>
    <t xml:space="preserve">DWC_D5MCL4_480_SR10 </t>
  </si>
  <si>
    <t xml:space="preserve">DWC_D5MCL4_480_SR11 </t>
  </si>
  <si>
    <t>LPDDR4 DWC_D5M_PCKE cell  Z0=40-Ohm Driver</t>
  </si>
  <si>
    <t>LPDDR4 DWC_D5M_PCKE cell  Z0=40-Ohm Driver SR=01</t>
  </si>
  <si>
    <t>LPDDR4 DWC_D5M_PCKE cell  Z0=40-Ohm Driver SR=10</t>
  </si>
  <si>
    <t>LPDDR4 DWC_D5M_PCKE cell  Z0=40-Ohm Driver SR=11</t>
  </si>
  <si>
    <t>LPDDR4 DWC_D5M_PCKE cell  Z0=60-Ohm Driver</t>
  </si>
  <si>
    <t>LPDDR4 DWC_D5M_PCKE cell  Z0=60-Ohm Driver SR=01</t>
  </si>
  <si>
    <t>LPDDR4 DWC_D5M_PCKE cell  Z0=60-Ohm Driver SR=10</t>
  </si>
  <si>
    <t>LPDDR4 DWC_D5M_PCKE cell  Z0=60-Ohm Driver SR=11</t>
  </si>
  <si>
    <t>LPDDR4 DWC_D5M_PCKE cell  Z0=48-Ohm Driver</t>
  </si>
  <si>
    <t>LPDDR4 DWC_D5M_PCKE cell  Z0=48-Ohm Driver SR=01</t>
  </si>
  <si>
    <t>LPDDR4 DWC_D5M_PCKE cell  Z0=48-Ohm Driver SR=10</t>
  </si>
  <si>
    <t>LPDDR4 DWC_D5M_PCKE cell  Z0=48-Ohm Driver SR=11</t>
  </si>
  <si>
    <t>LPDDR4 DWC_D5M_PCKE cell  Z0=80-Ohm Driver</t>
  </si>
  <si>
    <t>LPDDR4 DWC_D5M_PCKE cell  Z0=80-Ohm Driver SR=01</t>
  </si>
  <si>
    <t>LPDDR4 DWC_D5M_PCKE cell  Z0=80-Ohm Driver SR=10</t>
  </si>
  <si>
    <t>LPDDR4 DWC_D5M_PCKE cell  Z0=80-Ohm Driver SR=11</t>
  </si>
  <si>
    <t>LPDDR4 DWC_D5M_PCKE cell  Z0=96-Ohm Driver</t>
  </si>
  <si>
    <t>LPDDR4 DWC_D5M_PCKE cell  Z0=96-Ohm Driver SR=01</t>
  </si>
  <si>
    <t>LPDDR4 DWC_D5M_PCKE cell  Z0=96-Ohm Driver SR=10</t>
  </si>
  <si>
    <t>LPDDR4 DWC_D5M_PCKE cell  Z0=96-Ohm Driver SR=11</t>
  </si>
  <si>
    <t>LPDDR4 DWC_D5M_PCKE cell  Z0=120-Ohm Driver</t>
  </si>
  <si>
    <t>LPDDR4 DWC_D5M_PCKE cell  Z0=120-Ohm Driver SR=01</t>
  </si>
  <si>
    <t>LPDDR4 DWC_D5M_PCKE cell  Z0=120-Ohm Driver SR=10</t>
  </si>
  <si>
    <t>LPDDR4 DWC_D5M_PCKE cell  Z0=120-Ohm Driver SR=11</t>
  </si>
  <si>
    <t>LPDDR4 DWC_D5M_PCKE cell  Z0=160-Ohm Driver</t>
  </si>
  <si>
    <t>LPDDR4 DWC_D5M_PCKE cell  Z0=160-Ohm Driver SR=01</t>
  </si>
  <si>
    <t>LPDDR4 DWC_D5M_PCKE cell  Z0=160-Ohm Driver SR=10</t>
  </si>
  <si>
    <t>LPDDR4 DWC_D5M_PCKE cell  Z0=160-Ohm Driver SR=11</t>
  </si>
  <si>
    <t>LPDDR4 DWC_D5M_PCKE cell  Z0=180-Ohm Driver</t>
  </si>
  <si>
    <t>LPDDR4 DWC_D5M_PCKE cell  Z0=180-Ohm Driver SR=01</t>
  </si>
  <si>
    <t>LPDDR4 DWC_D5M_PCKE cell  Z0=180-Ohm Driver SR=10</t>
  </si>
  <si>
    <t>LPDDR4 DWC_D5M_PCKE cell  Z0=180-Ohm Driver SR=11</t>
  </si>
  <si>
    <t>LPDDR4 DWC_D5M_PCKE cell  Z0=240-Ohm Driver</t>
  </si>
  <si>
    <t>LPDDR4 DWC_D5M_PCKE cell  Z0=240-Ohm Driver SR=01</t>
  </si>
  <si>
    <t>LPDDR4 DWC_D5M_PCKE cell  Z0=240-Ohm Driver SR=10</t>
  </si>
  <si>
    <t>LPDDR4 DWC_D5M_PCKE cell  Z0=240-Ohm Driver SR=11</t>
  </si>
  <si>
    <t>LPDDR4 DWC_D5M_PCKE cell  Z0=360-Ohm Driver</t>
  </si>
  <si>
    <t>LPDDR4 DWC_D5M_PCKE cell  Z0=360-Ohm Driver SR=01</t>
  </si>
  <si>
    <t>LPDDR4 DWC_D5M_PCKE cell  Z0=360-Ohm Driver SR=10</t>
  </si>
  <si>
    <t>LPDDR4 DWC_D5M_PCKE cell  Z0=360-Ohm Driver SR=11</t>
  </si>
  <si>
    <t>LPDDR4 DWC_D5M_PCKE cell  Z0=480-Ohm Driver</t>
  </si>
  <si>
    <t>LPDDR4 DWC_D5M_PCKE cell  Z0=480-Ohm Driver SR=01</t>
  </si>
  <si>
    <t>LPDDR4 DWC_D5M_PCKE cell  Z0=480-Ohm Driver SR=10</t>
  </si>
  <si>
    <t>LPDDR4 DWC_D5M_PCKE cell  Z0=480-Ohm Driver SR=11</t>
  </si>
  <si>
    <t xml:space="preserve">DWC_D5MP3L_34        </t>
  </si>
  <si>
    <t xml:space="preserve">DWC_D5MP3L_34_SR01   </t>
  </si>
  <si>
    <t xml:space="preserve">DWC_D5MP3L_34_SR10   </t>
  </si>
  <si>
    <t xml:space="preserve">DWC_D5MP3L_34_SR11   </t>
  </si>
  <si>
    <t xml:space="preserve">DWC_D5MP3L_40        </t>
  </si>
  <si>
    <t xml:space="preserve">DWC_D5MP3L_40_SR01   </t>
  </si>
  <si>
    <t xml:space="preserve">DWC_D5MP3L_40_SR10   </t>
  </si>
  <si>
    <t xml:space="preserve">DWC_D5MP3L_40_SR11   </t>
  </si>
  <si>
    <t xml:space="preserve">DWC_D5MP3L_ODT120    </t>
  </si>
  <si>
    <t xml:space="preserve">DWC_D5MP3L_ODT40     </t>
  </si>
  <si>
    <t xml:space="preserve">DWC_D5MP3L_ODT60     </t>
  </si>
  <si>
    <t xml:space="preserve">DWC_D5MP3L_ODTOFF    </t>
  </si>
  <si>
    <t xml:space="preserve">DWC_D5MP4_34         </t>
  </si>
  <si>
    <t xml:space="preserve">DWC_D5MP4_34_SR01    </t>
  </si>
  <si>
    <t xml:space="preserve">DWC_D5MP4_34_SR10    </t>
  </si>
  <si>
    <t xml:space="preserve">DWC_D5MP4_34_SR11    </t>
  </si>
  <si>
    <t xml:space="preserve">DWC_D5MP4_48         </t>
  </si>
  <si>
    <t xml:space="preserve">DWC_D5MP4_48_SR01    </t>
  </si>
  <si>
    <t xml:space="preserve">DWC_D5MP4_48_SR10    </t>
  </si>
  <si>
    <t xml:space="preserve">DWC_D5MP4_48_SR11    </t>
  </si>
  <si>
    <t xml:space="preserve">DWC_D5MP4_34ODT120   </t>
  </si>
  <si>
    <t xml:space="preserve">DWC_D5MP4_34ODT240   </t>
  </si>
  <si>
    <t xml:space="preserve">DWC_D5MP4_34ODT34    </t>
  </si>
  <si>
    <t xml:space="preserve">DWC_D5MP4_34ODT40    </t>
  </si>
  <si>
    <t xml:space="preserve">DWC_D5MP4_34ODT48    </t>
  </si>
  <si>
    <t xml:space="preserve">DWC_D5MP4_34ODT60    </t>
  </si>
  <si>
    <t xml:space="preserve">DWC_D5MP4_34ODT80    </t>
  </si>
  <si>
    <t xml:space="preserve">DWC_D5MP4_48ODT120   </t>
  </si>
  <si>
    <t xml:space="preserve">DWC_D5MP4_48ODT240   </t>
  </si>
  <si>
    <t xml:space="preserve">DWC_D5MP4_48ODT34    </t>
  </si>
  <si>
    <t xml:space="preserve">DWC_D5MP4_48ODT40    </t>
  </si>
  <si>
    <t xml:space="preserve">DWC_D5MP4_48ODT48    </t>
  </si>
  <si>
    <t xml:space="preserve">DWC_D5MP4_48ODT60    </t>
  </si>
  <si>
    <t xml:space="preserve">DWC_D5MP4_48ODT80    </t>
  </si>
  <si>
    <t xml:space="preserve">DWC_D5MP4_ODTOFF     </t>
  </si>
  <si>
    <t xml:space="preserve">DWC_D5MPL4_40        </t>
  </si>
  <si>
    <t xml:space="preserve">DWC_D5MPL4_40_SR01   </t>
  </si>
  <si>
    <t xml:space="preserve">DWC_D5MPL4_40_SR10   </t>
  </si>
  <si>
    <t xml:space="preserve">DWC_D5MPL4_40_SR11   </t>
  </si>
  <si>
    <t xml:space="preserve">DWC_D5MPL4_48        </t>
  </si>
  <si>
    <t xml:space="preserve">DWC_D5MPL4_48_SR01   </t>
  </si>
  <si>
    <t xml:space="preserve">DWC_D5MPL4_48_SR10   </t>
  </si>
  <si>
    <t xml:space="preserve">DWC_D5MPL4_48_SR11   </t>
  </si>
  <si>
    <t xml:space="preserve">DWC_D5MPL4_60        </t>
  </si>
  <si>
    <t xml:space="preserve">DWC_D5MPL4_60_SR01   </t>
  </si>
  <si>
    <t xml:space="preserve">DWC_D5MPL4_60_SR10   </t>
  </si>
  <si>
    <t xml:space="preserve">DWC_D5MPL4_60_SR11   </t>
  </si>
  <si>
    <t xml:space="preserve">DWC_D5MPL4_80        </t>
  </si>
  <si>
    <t xml:space="preserve">DWC_D5MPL4_80_SR01   </t>
  </si>
  <si>
    <t xml:space="preserve">DWC_D5MPL4_80_SR10   </t>
  </si>
  <si>
    <t xml:space="preserve">DWC_D5MPL4_80_SR11   </t>
  </si>
  <si>
    <t xml:space="preserve">DWC_D5MPL4_96        </t>
  </si>
  <si>
    <t xml:space="preserve">DWC_D5MPL4_96_SR01   </t>
  </si>
  <si>
    <t xml:space="preserve">DWC_D5MPL4_96_SR10   </t>
  </si>
  <si>
    <t xml:space="preserve">DWC_D5MPL4_96_SR11   </t>
  </si>
  <si>
    <t xml:space="preserve">DWC_D5MPL4_120       </t>
  </si>
  <si>
    <t xml:space="preserve">DWC_D5MPL4_120_SR01  </t>
  </si>
  <si>
    <t xml:space="preserve">DWC_D5MPL4_120_SR10  </t>
  </si>
  <si>
    <t xml:space="preserve">DWC_D5MPL4_120_SR11  </t>
  </si>
  <si>
    <t xml:space="preserve">DWC_D5MPL4_160       </t>
  </si>
  <si>
    <t xml:space="preserve">DWC_D5MPL4_160_SR01  </t>
  </si>
  <si>
    <t xml:space="preserve">DWC_D5MPL4_160_SR10  </t>
  </si>
  <si>
    <t xml:space="preserve">DWC_D5MPL4_160_SR11  </t>
  </si>
  <si>
    <t xml:space="preserve">DWC_D5MPL4_180       </t>
  </si>
  <si>
    <t xml:space="preserve">DWC_D5MPL4_180_SR01  </t>
  </si>
  <si>
    <t xml:space="preserve">DWC_D5MPL4_180_SR10  </t>
  </si>
  <si>
    <t xml:space="preserve">DWC_D5MPL4_180_SR11  </t>
  </si>
  <si>
    <t xml:space="preserve">DWC_D5MPL4_240       </t>
  </si>
  <si>
    <t xml:space="preserve">DWC_D5MPL4_240_SR01  </t>
  </si>
  <si>
    <t xml:space="preserve">DWC_D5MPL4_240_SR10  </t>
  </si>
  <si>
    <t xml:space="preserve">DWC_D5MPL4_240_SR11  </t>
  </si>
  <si>
    <t xml:space="preserve">DWC_D5MPL4_480       </t>
  </si>
  <si>
    <t xml:space="preserve">DWC_D5MPL4_480_SR01  </t>
  </si>
  <si>
    <t xml:space="preserve">DWC_D5MPL4_480_SR10  </t>
  </si>
  <si>
    <t xml:space="preserve">DWC_D5MPL4_480_SR11  </t>
  </si>
  <si>
    <t xml:space="preserve">DWC_D5MPL4_360       </t>
  </si>
  <si>
    <t xml:space="preserve">DWC_D5MPL4_360_SR01  </t>
  </si>
  <si>
    <t xml:space="preserve">DWC_D5MPL4_360_SR10  </t>
  </si>
  <si>
    <t xml:space="preserve">DWC_D5MPL4_360_SR11  </t>
  </si>
  <si>
    <t xml:space="preserve">DWC_D5MPL4_80ODT40   </t>
  </si>
  <si>
    <t xml:space="preserve">DWC_D5MPL4_96ODT48   </t>
  </si>
  <si>
    <t xml:space="preserve">DWC_D5MPL4_120ODT60  </t>
  </si>
  <si>
    <t xml:space="preserve">DWC_D5MPL4_160ODT80  </t>
  </si>
  <si>
    <t xml:space="preserve">DWC_D5MPL4_240ODT120 </t>
  </si>
  <si>
    <t xml:space="preserve">DWC_D5MPL4_480ODT240 </t>
  </si>
  <si>
    <t xml:space="preserve">DWC_D5MPL4_360ODT240 </t>
  </si>
  <si>
    <t xml:space="preserve">DWC_D5MPL4_120ODT80  </t>
  </si>
  <si>
    <t xml:space="preserve">DWC_D5MPL4_180ODT120 </t>
  </si>
  <si>
    <t xml:space="preserve">DWC_D5MPL4_ODTOFF    </t>
  </si>
  <si>
    <t xml:space="preserve">DDR3L DWC_D5M_PDDRIO cell  Z0=34-Ohm Driver </t>
  </si>
  <si>
    <t xml:space="preserve">DDR3L DWC_D5M_PDDRIO cell  Z0=34-Ohm Driver SR=01 </t>
  </si>
  <si>
    <t xml:space="preserve">DDR3L DWC_D5M_PDDRIO cell  Z0=34-Ohm Driver SR=10 </t>
  </si>
  <si>
    <t xml:space="preserve">DDR3L DWC_D5M_PDDRIO cell  Z0=34-Ohm Driver SR=11 </t>
  </si>
  <si>
    <t xml:space="preserve">DDR3L DWC_D5M_PDDRIO cell  Z0=40-Ohm Driver </t>
  </si>
  <si>
    <t xml:space="preserve">DDR3L DWC_D5M_PDDRIO cell  Z0=40-Ohm Driver SR=01 </t>
  </si>
  <si>
    <t xml:space="preserve">DDR3L DWC_D5M_PDDRIO cell  Z0=40-Ohm Driver SR=10 </t>
  </si>
  <si>
    <t xml:space="preserve">DDR3L DWC_D5M_PDDRIO cell  Z0=40-Ohm Driver SR=11 </t>
  </si>
  <si>
    <t>DDR3L DWC_D5M_PDDRIO cell 120-Ohm ODT Receiver</t>
  </si>
  <si>
    <t>DDR3L DWC_D5M_PDDRIO cell 40-Ohm ODT Receiver</t>
  </si>
  <si>
    <t>DDR3L DWC_D5M_PDDRIO cell 60-Ohm ODT Receiver</t>
  </si>
  <si>
    <t>DDR3L DWC_D5M_PDDRIO cell ODT off Receiver</t>
  </si>
  <si>
    <t xml:space="preserve">DDR4 DWC_D5M_PDDRIO cell  Z0=34-Ohm Driver </t>
  </si>
  <si>
    <t xml:space="preserve">DDR4 DWC_D5M_PDDRIO cell  Z0=34-Ohm Driver SR=01 </t>
  </si>
  <si>
    <t xml:space="preserve">DDR4 DWC_D5M_PDDRIO cell  Z0=34-Ohm Driver SR=10 </t>
  </si>
  <si>
    <t xml:space="preserve">DDR4 DWC_D5M_PDDRIO cell  Z0=34-Ohm Driver SR=11 </t>
  </si>
  <si>
    <t xml:space="preserve">DDR4 DWC_D5M_PDDRIO cell  Z0=48-Ohm Driver </t>
  </si>
  <si>
    <t xml:space="preserve">DDR4 DWC_D5M_PDDRIO cell  Z0=48-Ohm Driver SR=01 </t>
  </si>
  <si>
    <t xml:space="preserve">DDR4 DWC_D5M_PDDRIO cell  Z0=48-Ohm Driver SR=10 </t>
  </si>
  <si>
    <t xml:space="preserve">DDR4 DWC_D5M_PDDRIO cell  Z0=48-Ohm Driver SR=11 </t>
  </si>
  <si>
    <t>DDR4 DWC_D5M_PDDRIO cell 120-Ohm ODT Receiver</t>
  </si>
  <si>
    <t>DDR4 DWC_D5M_PDDRIO cell 240-Ohm ODT Receiver</t>
  </si>
  <si>
    <t>DDR4 DWC_D5M_PDDRIO cell 34-Ohm ODT Receiver</t>
  </si>
  <si>
    <t>DDR4 DWC_D5M_PDDRIO cell 40-Ohm ODT Receiver</t>
  </si>
  <si>
    <t>DDR4 DWC_D5M_PDDRIO cell 48-Ohm ODT Receiver</t>
  </si>
  <si>
    <t>DDR4 DWC_D5M_PDDRIO cell 60-Ohm ODT Receiver</t>
  </si>
  <si>
    <t>DDR4 DWC_D5M_PDDRIO cell 80-Ohm ODT Receiver</t>
  </si>
  <si>
    <t>DDR4 DWC_D5M_PDDRIO cell ODT off Receiver</t>
  </si>
  <si>
    <t xml:space="preserve">LPDDR4 DWC_D5M_PDDRIO cell  Z0=40-Ohm Driver </t>
  </si>
  <si>
    <t>LPDDR4 DWC_D5M_PDDRIO cell  Z0=40-Ohm Driver SR=01</t>
  </si>
  <si>
    <t>LPDDR4 DWC_D5M_PDDRIO cell  Z0=40-Ohm Driver SR=10</t>
  </si>
  <si>
    <t>LPDDR4 DWC_D5M_PDDRIO cell  Z0=40-Ohm Driver SR=11</t>
  </si>
  <si>
    <t xml:space="preserve">LPDDR4 DWC_D5M_PDDRIO cell  Z0=48-Ohm Driver </t>
  </si>
  <si>
    <t>LPDDR4 DWC_D5M_PDDRIO cell  Z0=48-Ohm Driver SR=01</t>
  </si>
  <si>
    <t>LPDDR4 DWC_D5M_PDDRIO cell  Z0=48-Ohm Driver SR=10</t>
  </si>
  <si>
    <t>LPDDR4 DWC_D5M_PDDRIO cell  Z0=48-Ohm Driver SR=11</t>
  </si>
  <si>
    <t xml:space="preserve">LPDDR4 DWC_D5M_PDDRIO cell  Z0=60-Ohm Driver </t>
  </si>
  <si>
    <t>LPDDR4 DWC_D5M_PDDRIO cell  Z0=60-Ohm Driver SR=01</t>
  </si>
  <si>
    <t>LPDDR4 DWC_D5M_PDDRIO cell  Z0=60-Ohm Driver SR=10</t>
  </si>
  <si>
    <t>LPDDR4 DWC_D5M_PDDRIO cell  Z0=60-Ohm Driver SR=11</t>
  </si>
  <si>
    <t xml:space="preserve">LPDDR4 DWC_D5M_PDDRIO cell  Z0=80-Ohm Driver </t>
  </si>
  <si>
    <t>LPDDR4 DWC_D5M_PDDRIO cell  Z0=80-Ohm Driver SR=01</t>
  </si>
  <si>
    <t>LPDDR4 DWC_D5M_PDDRIO cell  Z0=80-Ohm Driver SR=10</t>
  </si>
  <si>
    <t>LPDDR4 DWC_D5M_PDDRIO cell  Z0=80-Ohm Driver SR=11</t>
  </si>
  <si>
    <t xml:space="preserve">LPDDR4 DWC_D5M_PDDRIO cell  Z0=96-Ohm Driver </t>
  </si>
  <si>
    <t>LPDDR4 DWC_D5M_PDDRIO cell  Z0=96-Ohm Driver SR=01</t>
  </si>
  <si>
    <t>LPDDR4 DWC_D5M_PDDRIO cell  Z0=96-Ohm Driver SR=10</t>
  </si>
  <si>
    <t>LPDDR4 DWC_D5M_PDDRIO cell  Z0=96-Ohm Driver SR=11</t>
  </si>
  <si>
    <t xml:space="preserve">LPDDR4 DWC_D5M_PDDRIO cell  Z0=120-Ohm Driver </t>
  </si>
  <si>
    <t>LPDDR4 DWC_D5M_PDDRIO cell  Z0=120-Ohm Driver SR=01</t>
  </si>
  <si>
    <t>LPDDR4 DWC_D5M_PDDRIO cell  Z0=120-Ohm Driver SR=10</t>
  </si>
  <si>
    <t>LPDDR4 DWC_D5M_PDDRIO cell  Z0=120-Ohm Driver SR=11</t>
  </si>
  <si>
    <t xml:space="preserve">LPDDR4 DWC_D5M_PDDRIO cell  Z0=160-Ohm Driver </t>
  </si>
  <si>
    <t>LPDDR4 DWC_D5M_PDDRIO cell  Z0=160-Ohm Driver SR=01</t>
  </si>
  <si>
    <t>LPDDR4 DWC_D5M_PDDRIO cell  Z0=160-Ohm Driver SR=10</t>
  </si>
  <si>
    <t>LPDDR4 DWC_D5M_PDDRIO cell  Z0=160-Ohm Driver SR=11</t>
  </si>
  <si>
    <t xml:space="preserve">LPDDR4 DWC_D5M_PDDRIO cell  Z0=180-Ohm Driver </t>
  </si>
  <si>
    <t>LPDDR4 DWC_D5M_PDDRIO cell  Z0=180-Ohm Driver SR=01</t>
  </si>
  <si>
    <t>LPDDR4 DWC_D5M_PDDRIO cell  Z0=180-Ohm Driver SR=10</t>
  </si>
  <si>
    <t>LPDDR4 DWC_D5M_PDDRIO cell  Z0=180-Ohm Driver SR=11</t>
  </si>
  <si>
    <t xml:space="preserve">LPDDR4 DWC_D5M_PDDRIO cell  Z0=240-Ohm Driver </t>
  </si>
  <si>
    <t>LPDDR4 DWC_D5M_PDDRIO cell  Z0=240-Ohm Driver SR=01</t>
  </si>
  <si>
    <t>LPDDR4 DWC_D5M_PDDRIO cell  Z0=240-Ohm Driver SR=10</t>
  </si>
  <si>
    <t>LPDDR4 DWC_D5M_PDDRIO cell  Z0=240-Ohm Driver SR=11</t>
  </si>
  <si>
    <t xml:space="preserve">LPDDR4 DWC_D5M_PDDRIO cell  Z0=480-Ohm Driver </t>
  </si>
  <si>
    <t>LPDDR4 DWC_D5M_PDDRIO cell  Z0=480-Ohm Driver SR=01</t>
  </si>
  <si>
    <t>LPDDR4 DWC_D5M_PDDRIO cell  Z0=480-Ohm Driver SR=10</t>
  </si>
  <si>
    <t>LPDDR4 DWC_D5M_PDDRIO cell  Z0=480-Ohm Driver SR=11</t>
  </si>
  <si>
    <t xml:space="preserve">LPDDR4 DWC_D5M_PDDRIO cell  Z0=360-Ohm Driver </t>
  </si>
  <si>
    <t>LPDDR4 DWC_D5M_PDDRIO cell  Z0=360-Ohm Driver SR=01</t>
  </si>
  <si>
    <t>LPDDR4 DWC_D5M_PDDRIO cell  Z0=360-Ohm Driver SR=10</t>
  </si>
  <si>
    <t>LPDDR4 DWC_D5M_PDDRIO cell  Z0=360-Ohm Driver SR=11</t>
  </si>
  <si>
    <t>LPDDR4 DWC_D5M_PDDRIO cell 40-Ohm ODT Receiver</t>
  </si>
  <si>
    <t>LPDDR4 DWC_D5M_PDDRIO cell 48-Ohm ODT Receiver</t>
  </si>
  <si>
    <t>LPDDR4 DWC_D5M_PDDRIO cell 60-Ohm ODT Receiver</t>
  </si>
  <si>
    <t>LPDDR4 DWC_D5M_PDDRIO cell 80-Ohm ODT Receiver</t>
  </si>
  <si>
    <t>LPDDR4 DWC_D5M_PDDRIO cell 120-Ohm ODT Receiver</t>
  </si>
  <si>
    <t>LPDDR4 DWC_D5M_PDDRIO cell 240-Ohm ODT Receiver</t>
  </si>
  <si>
    <t>LPDDR4 DWC_D5M_PDDRIO cell  ODT off Receiver</t>
  </si>
  <si>
    <t xml:space="preserve">DWC_D5MQL4_40             </t>
  </si>
  <si>
    <t xml:space="preserve">DWC_D5MQL4_40_SR01        </t>
  </si>
  <si>
    <t xml:space="preserve">DWC_D5MQL4_40_SR10        </t>
  </si>
  <si>
    <t xml:space="preserve">DWC_D5MQL4_40_SR11        </t>
  </si>
  <si>
    <t xml:space="preserve">DWC_D5MQL4_48             </t>
  </si>
  <si>
    <t xml:space="preserve">DWC_D5MQL4_48_SR01        </t>
  </si>
  <si>
    <t xml:space="preserve">DWC_D5MQL4_48_SR10        </t>
  </si>
  <si>
    <t xml:space="preserve">DWC_D5MQL4_48_SR11        </t>
  </si>
  <si>
    <t xml:space="preserve">DWC_D5MQL4_60             </t>
  </si>
  <si>
    <t xml:space="preserve">DWC_D5MQL4_60_SR01        </t>
  </si>
  <si>
    <t xml:space="preserve">DWC_D5MQL4_60_SR10        </t>
  </si>
  <si>
    <t xml:space="preserve">DWC_D5MQL4_60_SR11        </t>
  </si>
  <si>
    <t xml:space="preserve">DWC_D5MQL4_80             </t>
  </si>
  <si>
    <t xml:space="preserve">DWC_D5MQL4_80_SR01        </t>
  </si>
  <si>
    <t xml:space="preserve">DWC_D5MQL4_80_SR10        </t>
  </si>
  <si>
    <t xml:space="preserve">DWC_D5MQL4_80_SR11        </t>
  </si>
  <si>
    <t xml:space="preserve">DWC_D5MQL4_96             </t>
  </si>
  <si>
    <t xml:space="preserve">DWC_D5MQL4_96_SR01        </t>
  </si>
  <si>
    <t xml:space="preserve">DWC_D5MQL4_96_SR10        </t>
  </si>
  <si>
    <t xml:space="preserve">DWC_D5MQL4_96_SR11        </t>
  </si>
  <si>
    <t xml:space="preserve">DWC_D5MQL4_120            </t>
  </si>
  <si>
    <t xml:space="preserve">DWC_D5MQL4_120_SR01       </t>
  </si>
  <si>
    <t xml:space="preserve">DWC_D5MQL4_120_SR10       </t>
  </si>
  <si>
    <t xml:space="preserve">DWC_D5MQL4_120_SR11       </t>
  </si>
  <si>
    <t xml:space="preserve">DWC_D5MQL4_160            </t>
  </si>
  <si>
    <t xml:space="preserve">DWC_D5MQL4_160_SR01       </t>
  </si>
  <si>
    <t xml:space="preserve">DWC_D5MQL4_160_SR10       </t>
  </si>
  <si>
    <t xml:space="preserve">DWC_D5MQL4_160_SR11       </t>
  </si>
  <si>
    <t xml:space="preserve">DWC_D5MQL4_180            </t>
  </si>
  <si>
    <t xml:space="preserve">DWC_D5MQL4_180_SR01       </t>
  </si>
  <si>
    <t xml:space="preserve">DWC_D5MQL4_180_SR10       </t>
  </si>
  <si>
    <t xml:space="preserve">DWC_D5MQL4_180_SR11       </t>
  </si>
  <si>
    <t xml:space="preserve">DWC_D5MQL4_240            </t>
  </si>
  <si>
    <t xml:space="preserve">DWC_D5MQL4_240_SR01       </t>
  </si>
  <si>
    <t xml:space="preserve">DWC_D5MQL4_240_SR10       </t>
  </si>
  <si>
    <t xml:space="preserve">DWC_D5MQL4_240_SR11       </t>
  </si>
  <si>
    <t xml:space="preserve">DWC_D5MQL4_480            </t>
  </si>
  <si>
    <t xml:space="preserve">DWC_D5MQL4_480_SR01       </t>
  </si>
  <si>
    <t xml:space="preserve">DWC_D5MQL4_480_SR10       </t>
  </si>
  <si>
    <t xml:space="preserve">DWC_D5MQL4_480_SR11       </t>
  </si>
  <si>
    <t xml:space="preserve">DWC_D5MQL4_80ODT40_PD415  </t>
  </si>
  <si>
    <t xml:space="preserve">DWC_D5MQL4_80ODT40_PD500  </t>
  </si>
  <si>
    <t xml:space="preserve">DWC_D5MQL4_80ODT40_PD620  </t>
  </si>
  <si>
    <t xml:space="preserve">DWC_D5MQL4_80ODT40_PU415  </t>
  </si>
  <si>
    <t xml:space="preserve">DWC_D5MQL4_80ODT40_PU500  </t>
  </si>
  <si>
    <t xml:space="preserve">DWC_D5MQL4_80ODT40_PU620  </t>
  </si>
  <si>
    <t xml:space="preserve">DWC_D5MQL4_80ODT40        </t>
  </si>
  <si>
    <t xml:space="preserve">DWC_D5MQL4_96ODT48_PD415  </t>
  </si>
  <si>
    <t xml:space="preserve">DWC_D5MQL4_96ODT48_PD500  </t>
  </si>
  <si>
    <t xml:space="preserve">DWC_D5MQL4_96ODT48_PD620  </t>
  </si>
  <si>
    <t xml:space="preserve">DWC_D5MQL4_96ODT48_PU415  </t>
  </si>
  <si>
    <t xml:space="preserve">DWC_D5MQL4_96ODT48_PU500  </t>
  </si>
  <si>
    <t xml:space="preserve">DWC_D5MQL4_96ODT48_PU620  </t>
  </si>
  <si>
    <t xml:space="preserve">DWC_D5MQL4_96ODT48        </t>
  </si>
  <si>
    <t xml:space="preserve">DWC_D5MQL4_120ODT60_PD415 </t>
  </si>
  <si>
    <t xml:space="preserve">DWC_D5MQL4_120ODT60_PD500 </t>
  </si>
  <si>
    <t xml:space="preserve">DWC_D5MQL4_120ODT60_PD620 </t>
  </si>
  <si>
    <t xml:space="preserve">DWC_D5MQL4_120ODT60_PU415 </t>
  </si>
  <si>
    <t xml:space="preserve">DWC_D5MQL4_120ODT60_PU500 </t>
  </si>
  <si>
    <t xml:space="preserve">DWC_D5MQL4_120ODT60_PU620 </t>
  </si>
  <si>
    <t xml:space="preserve">DWC_D5MQL4_120ODT60       </t>
  </si>
  <si>
    <t xml:space="preserve">DWC_D5MQL4_160ODT80_PD415 </t>
  </si>
  <si>
    <t xml:space="preserve">DWC_D5MQL4_160ODT80_PD500 </t>
  </si>
  <si>
    <t xml:space="preserve">DWC_D5MQL4_160ODT80_PD620 </t>
  </si>
  <si>
    <t xml:space="preserve">DWC_D5MQL4_160ODT80_PU415 </t>
  </si>
  <si>
    <t xml:space="preserve">DWC_D5MQL4_160ODT80_PU500 </t>
  </si>
  <si>
    <t xml:space="preserve">DWC_D5MQL4_160ODT80_PU620 </t>
  </si>
  <si>
    <t xml:space="preserve">DWC_D5MQL4_160ODT80       </t>
  </si>
  <si>
    <t>DWC_D5MQL4_240ODT120_PD415</t>
  </si>
  <si>
    <t>DWC_D5MQL4_240ODT120_PD500</t>
  </si>
  <si>
    <t>DWC_D5MQL4_240ODT120_PD620</t>
  </si>
  <si>
    <t>DWC_D5MQL4_240ODT120_PU415</t>
  </si>
  <si>
    <t>DWC_D5MQL4_240ODT120_PU500</t>
  </si>
  <si>
    <t>DWC_D5MQL4_240ODT120_PU620</t>
  </si>
  <si>
    <t xml:space="preserve">DWC_D5MQL4_240ODT120      </t>
  </si>
  <si>
    <t xml:space="preserve">DWC_D5MQL4_360ODT240      </t>
  </si>
  <si>
    <t>DWC_D5MQL4_360ODT240_PD415</t>
  </si>
  <si>
    <t>DWC_D5MQL4_360ODT240_PD500</t>
  </si>
  <si>
    <t>DWC_D5MQL4_360ODT240_PD620</t>
  </si>
  <si>
    <t>DWC_D5MQL4_360ODT240_PU415</t>
  </si>
  <si>
    <t>DWC_D5MQL4_360ODT240_PU500</t>
  </si>
  <si>
    <t>DWC_D5MQL4_360ODT240_PU620</t>
  </si>
  <si>
    <t xml:space="preserve">DWC_D5MQL4_360            </t>
  </si>
  <si>
    <t xml:space="preserve">DWC_D5MQL4_360_SR01       </t>
  </si>
  <si>
    <t xml:space="preserve">DWC_D5MQL4_360_SR10       </t>
  </si>
  <si>
    <t xml:space="preserve">DWC_D5MQL4_360_SR11       </t>
  </si>
  <si>
    <t>DWC_D5MQL4_480ODT240_PD415</t>
  </si>
  <si>
    <t>DWC_D5MQL4_480ODT240_PD500</t>
  </si>
  <si>
    <t>DWC_D5MQL4_480ODT240_PD620</t>
  </si>
  <si>
    <t>DWC_D5MQL4_480ODT240_PU415</t>
  </si>
  <si>
    <t>DWC_D5MQL4_480ODT240_PU500</t>
  </si>
  <si>
    <t>DWC_D5MQL4_480ODT240_PU620</t>
  </si>
  <si>
    <t xml:space="preserve">DWC_D5MQL4_480ODT240      </t>
  </si>
  <si>
    <t xml:space="preserve">DWC_D5MQL4_120ODT80_PD415 </t>
  </si>
  <si>
    <t xml:space="preserve">DWC_D5MQL4_120ODT80_PD500 </t>
  </si>
  <si>
    <t xml:space="preserve">DWC_D5MQL4_120ODT80_PD620 </t>
  </si>
  <si>
    <t xml:space="preserve">DWC_D5MQL4_120ODT80_PU415 </t>
  </si>
  <si>
    <t xml:space="preserve">DWC_D5MQL4_120ODT80_PU500 </t>
  </si>
  <si>
    <t xml:space="preserve">DWC_D5MQL4_120ODT80_PU620 </t>
  </si>
  <si>
    <t xml:space="preserve">DWC_D5MQL4_120ODT80       </t>
  </si>
  <si>
    <t>DWC_D5MQL4_180ODT120_PD415</t>
  </si>
  <si>
    <t>DWC_D5MQL4_180ODT120_PD500</t>
  </si>
  <si>
    <t>DWC_D5MQL4_180ODT120_PD620</t>
  </si>
  <si>
    <t>DWC_D5MQL4_180ODT120_PU415</t>
  </si>
  <si>
    <t>DWC_D5MQL4_180ODT120_PU500</t>
  </si>
  <si>
    <t>DWC_D5MQL4_180ODT120_PU620</t>
  </si>
  <si>
    <t xml:space="preserve">DWC_D5MQL4_180ODT120      </t>
  </si>
  <si>
    <t xml:space="preserve">DWC_D5MQL4_ODTOFF_PD415   </t>
  </si>
  <si>
    <t xml:space="preserve">DWC_D5MQL4_ODTOFF_PD500   </t>
  </si>
  <si>
    <t xml:space="preserve">DWC_D5MQL4_ODTOFF_PD620   </t>
  </si>
  <si>
    <t xml:space="preserve">DWC_D5MQL4_ODTOFF_PU415   </t>
  </si>
  <si>
    <t xml:space="preserve">DWC_D5MQL4_ODTOFF_PU500   </t>
  </si>
  <si>
    <t xml:space="preserve">DWC_D5MQL4_ODTOFF_PU620   </t>
  </si>
  <si>
    <t xml:space="preserve">DWC_D5MQL4_ODTOFF         </t>
  </si>
  <si>
    <t xml:space="preserve">DWC_D5MQ4_34            </t>
  </si>
  <si>
    <t xml:space="preserve">DWC_D5MQ4_34_SR01       </t>
  </si>
  <si>
    <t xml:space="preserve">DWC_D5MQ4_34_SR10       </t>
  </si>
  <si>
    <t xml:space="preserve">DWC_D5MQ4_34_SR11       </t>
  </si>
  <si>
    <t xml:space="preserve">DWC_D5MQ4_48            </t>
  </si>
  <si>
    <t xml:space="preserve">DWC_D5MQ4_48_SR01       </t>
  </si>
  <si>
    <t xml:space="preserve">DWC_D5MQ4_48_SR10       </t>
  </si>
  <si>
    <t xml:space="preserve">DWC_D5MQ4_48_SR11       </t>
  </si>
  <si>
    <t>DWC_D5MQ4_34ODT120_PD415</t>
  </si>
  <si>
    <t>DWC_D5MQ4_34ODT120_PD500</t>
  </si>
  <si>
    <t>DWC_D5MQ4_34ODT120_PD620</t>
  </si>
  <si>
    <t>DWC_D5MQ4_34ODT120_PU415</t>
  </si>
  <si>
    <t>DWC_D5MQ4_34ODT120_PU500</t>
  </si>
  <si>
    <t>DWC_D5MQ4_34ODT120_PU620</t>
  </si>
  <si>
    <t xml:space="preserve">DWC_D5MQ4_34ODT120      </t>
  </si>
  <si>
    <t>DWC_D5MQ4_34ODT240_PD415</t>
  </si>
  <si>
    <t>DWC_D5MQ4_34ODT240_PD500</t>
  </si>
  <si>
    <t>DWC_D5MQ4_34ODT240_PD620</t>
  </si>
  <si>
    <t>DWC_D5MQ4_34ODT240_PU415</t>
  </si>
  <si>
    <t>DWC_D5MQ4_34ODT240_PU500</t>
  </si>
  <si>
    <t>DWC_D5MQ4_34ODT240_PU620</t>
  </si>
  <si>
    <t xml:space="preserve">DWC_D5MQ4_34ODT240      </t>
  </si>
  <si>
    <t xml:space="preserve">DWC_D5MQ4_34ODT34_PD415 </t>
  </si>
  <si>
    <t xml:space="preserve">DWC_D5MQ4_34ODT34_PD500 </t>
  </si>
  <si>
    <t xml:space="preserve">DWC_D5MQ4_34ODT34_PD620 </t>
  </si>
  <si>
    <t xml:space="preserve">DWC_D5MQ4_34ODT34_PU415 </t>
  </si>
  <si>
    <t xml:space="preserve">DWC_D5MQ4_34ODT34_PU500 </t>
  </si>
  <si>
    <t xml:space="preserve">DWC_D5MQ4_34ODT34_PU620 </t>
  </si>
  <si>
    <t xml:space="preserve">DWC_D5MQ4_34ODT34       </t>
  </si>
  <si>
    <t xml:space="preserve">DWC_D5MQ4_34ODT40_PD415 </t>
  </si>
  <si>
    <t xml:space="preserve">DWC_D5MQ4_34ODT40_PD500 </t>
  </si>
  <si>
    <t xml:space="preserve">DWC_D5MQ4_34ODT40_PD620 </t>
  </si>
  <si>
    <t xml:space="preserve">DWC_D5MQ4_34ODT40_PU415 </t>
  </si>
  <si>
    <t xml:space="preserve">DWC_D5MQ4_34ODT40_PU500 </t>
  </si>
  <si>
    <t xml:space="preserve">DWC_D5MQ4_34ODT40_PU620 </t>
  </si>
  <si>
    <t xml:space="preserve">DWC_D5MQ4_34ODT40       </t>
  </si>
  <si>
    <t xml:space="preserve">DWC_D5MQ4_34ODT48_PD415 </t>
  </si>
  <si>
    <t xml:space="preserve">DWC_D5MQ4_34ODT48_PD500 </t>
  </si>
  <si>
    <t xml:space="preserve">DWC_D5MQ4_34ODT48_PD620 </t>
  </si>
  <si>
    <t xml:space="preserve">DWC_D5MQ4_34ODT48_PU415 </t>
  </si>
  <si>
    <t xml:space="preserve">DWC_D5MQ4_34ODT48_PU500 </t>
  </si>
  <si>
    <t xml:space="preserve">DWC_D5MQ4_34ODT48_PU620 </t>
  </si>
  <si>
    <t xml:space="preserve">DWC_D5MQ4_34ODT48       </t>
  </si>
  <si>
    <t xml:space="preserve">DWC_D5MQ4_34ODT60_PD415 </t>
  </si>
  <si>
    <t xml:space="preserve">DWC_D5MQ4_34ODT60_PD500 </t>
  </si>
  <si>
    <t xml:space="preserve">DWC_D5MQ4_34ODT60_PD620 </t>
  </si>
  <si>
    <t xml:space="preserve">DWC_D5MQ4_34ODT60_PU415 </t>
  </si>
  <si>
    <t xml:space="preserve">DWC_D5MQ4_34ODT60_PU500 </t>
  </si>
  <si>
    <t xml:space="preserve">DWC_D5MQ4_34ODT60_PU620 </t>
  </si>
  <si>
    <t xml:space="preserve">DWC_D5MQ4_34ODT60       </t>
  </si>
  <si>
    <t xml:space="preserve">DWC_D5MQ4_34ODT80_PD415 </t>
  </si>
  <si>
    <t xml:space="preserve">DWC_D5MQ4_34ODT80_PD500 </t>
  </si>
  <si>
    <t xml:space="preserve">DWC_D5MQ4_34ODT80_PD620 </t>
  </si>
  <si>
    <t xml:space="preserve">DWC_D5MQ4_34ODT80_PU415 </t>
  </si>
  <si>
    <t xml:space="preserve">DWC_D5MQ4_34ODT80_PU500 </t>
  </si>
  <si>
    <t xml:space="preserve">DWC_D5MQ4_34ODT80_PU620 </t>
  </si>
  <si>
    <t xml:space="preserve">DWC_D5MQ4_34ODT80       </t>
  </si>
  <si>
    <t>DWC_D5MQ4_48ODT120_PD415</t>
  </si>
  <si>
    <t>DWC_D5MQ4_48ODT120_PD500</t>
  </si>
  <si>
    <t>DWC_D5MQ4_48ODT120_PD620</t>
  </si>
  <si>
    <t>DWC_D5MQ4_48ODT120_PU415</t>
  </si>
  <si>
    <t>DWC_D5MQ4_48ODT120_PU500</t>
  </si>
  <si>
    <t>DWC_D5MQ4_48ODT120_PU620</t>
  </si>
  <si>
    <t xml:space="preserve">DWC_D5MQ4_48ODT120      </t>
  </si>
  <si>
    <t>DWC_D5MQ4_48ODT240_PD415</t>
  </si>
  <si>
    <t>DWC_D5MQ4_48ODT240_PD500</t>
  </si>
  <si>
    <t>DWC_D5MQ4_48ODT240_PD620</t>
  </si>
  <si>
    <t>DWC_D5MQ4_48ODT240_PU415</t>
  </si>
  <si>
    <t>DWC_D5MQ4_48ODT240_PU500</t>
  </si>
  <si>
    <t>DWC_D5MQ4_48ODT240_PU620</t>
  </si>
  <si>
    <t xml:space="preserve">DWC_D5MQ4_48ODT240      </t>
  </si>
  <si>
    <t xml:space="preserve">DWC_D5MQ4_48ODT34_PD415 </t>
  </si>
  <si>
    <t xml:space="preserve">DWC_D5MQ4_48ODT34_PD500 </t>
  </si>
  <si>
    <t xml:space="preserve">DWC_D5MQ4_48ODT34_PD620 </t>
  </si>
  <si>
    <t xml:space="preserve">DWC_D5MQ4_48ODT34_PU415 </t>
  </si>
  <si>
    <t xml:space="preserve">DWC_D5MQ4_48ODT34_PU500 </t>
  </si>
  <si>
    <t xml:space="preserve">DWC_D5MQ4_48ODT34_PU620 </t>
  </si>
  <si>
    <t xml:space="preserve">DWC_D5MQ4_48ODT34       </t>
  </si>
  <si>
    <t xml:space="preserve">DWC_D5MQ4_48ODT40_PD415 </t>
  </si>
  <si>
    <t xml:space="preserve">DWC_D5MQ4_48ODT40_PD500 </t>
  </si>
  <si>
    <t xml:space="preserve">DWC_D5MQ4_48ODT40_PD620 </t>
  </si>
  <si>
    <t xml:space="preserve">DWC_D5MQ4_48ODT40_PU415 </t>
  </si>
  <si>
    <t xml:space="preserve">DWC_D5MQ4_48ODT40_PU500 </t>
  </si>
  <si>
    <t xml:space="preserve">DWC_D5MQ4_48ODT40_PU620 </t>
  </si>
  <si>
    <t xml:space="preserve">DWC_D5MQ4_48ODT40       </t>
  </si>
  <si>
    <t xml:space="preserve">DWC_D5MQ4_48ODT48_PD415 </t>
  </si>
  <si>
    <t xml:space="preserve">DWC_D5MQ4_48ODT48_PD500 </t>
  </si>
  <si>
    <t xml:space="preserve">DWC_D5MQ4_48ODT48_PD620 </t>
  </si>
  <si>
    <t xml:space="preserve">DWC_D5MQ4_48ODT48_PU415 </t>
  </si>
  <si>
    <t xml:space="preserve">DWC_D5MQ4_48ODT48_PU500 </t>
  </si>
  <si>
    <t xml:space="preserve">DWC_D5MQ4_48ODT48_PU620 </t>
  </si>
  <si>
    <t xml:space="preserve">DWC_D5MQ4_48ODT48       </t>
  </si>
  <si>
    <t xml:space="preserve">DWC_D5MQ4_48ODT60_PD415 </t>
  </si>
  <si>
    <t xml:space="preserve">DWC_D5MQ4_48ODT60_PD500 </t>
  </si>
  <si>
    <t xml:space="preserve">DWC_D5MQ4_48ODT60_PD620 </t>
  </si>
  <si>
    <t xml:space="preserve">DWC_D5MQ4_48ODT60_PU415 </t>
  </si>
  <si>
    <t xml:space="preserve">DWC_D5MQ4_48ODT60_PU500 </t>
  </si>
  <si>
    <t xml:space="preserve">DWC_D5MQ4_48ODT60_PU620 </t>
  </si>
  <si>
    <t xml:space="preserve">DWC_D5MQ4_48ODT60       </t>
  </si>
  <si>
    <t xml:space="preserve">DWC_D5MQ4_48ODT80_PD415 </t>
  </si>
  <si>
    <t xml:space="preserve">DWC_D5MQ4_48ODT80_PD500 </t>
  </si>
  <si>
    <t xml:space="preserve">DWC_D5MQ4_48ODT80_PD620 </t>
  </si>
  <si>
    <t xml:space="preserve">DWC_D5MQ4_48ODT80_PU415 </t>
  </si>
  <si>
    <t xml:space="preserve">DWC_D5MQ4_48ODT80_PU500 </t>
  </si>
  <si>
    <t xml:space="preserve">DWC_D5MQ4_48ODT80_PU620 </t>
  </si>
  <si>
    <t xml:space="preserve">DWC_D5MQ4_48ODT80       </t>
  </si>
  <si>
    <t xml:space="preserve">DWC_D5MQ4_ODTOFF_PD415  </t>
  </si>
  <si>
    <t xml:space="preserve">DWC_D5MQ4_ODTOFF_PD500  </t>
  </si>
  <si>
    <t xml:space="preserve">DWC_D5MQ4_ODTOFF_PD620  </t>
  </si>
  <si>
    <t xml:space="preserve">DWC_D5MQ4_ODTOFF_PU415  </t>
  </si>
  <si>
    <t xml:space="preserve">DWC_D5MQ4_ODTOFF_PU500  </t>
  </si>
  <si>
    <t xml:space="preserve">DWC_D5MQ4_ODTOFF_PU620  </t>
  </si>
  <si>
    <t xml:space="preserve">DWC_D5MQ4_ODTOFF        </t>
  </si>
  <si>
    <t xml:space="preserve">DWC_D5MQ3L_34           </t>
  </si>
  <si>
    <t xml:space="preserve">DWC_D5MQ3L_34_SR01      </t>
  </si>
  <si>
    <t xml:space="preserve">DWC_D5MQ3L_34_SR10      </t>
  </si>
  <si>
    <t xml:space="preserve">DWC_D5MQ3L_34_SR11      </t>
  </si>
  <si>
    <t xml:space="preserve">DWC_D5MQ3L_40           </t>
  </si>
  <si>
    <t xml:space="preserve">DWC_D5MQ3L_40_SR01      </t>
  </si>
  <si>
    <t xml:space="preserve">DWC_D5MQ3L_40_SR10      </t>
  </si>
  <si>
    <t xml:space="preserve">DWC_D5MQ3L_40_SR11      </t>
  </si>
  <si>
    <t xml:space="preserve">DWC_D5MQ3L_ODT120_PD415 </t>
  </si>
  <si>
    <t xml:space="preserve">DWC_D5MQ3L_ODT120_PD500 </t>
  </si>
  <si>
    <t xml:space="preserve">DWC_D5MQ3L_ODT120_PD620 </t>
  </si>
  <si>
    <t xml:space="preserve">DWC_D5MQ3L_ODT120_PU415 </t>
  </si>
  <si>
    <t xml:space="preserve">DWC_D5MQ3L_ODT120_PU500 </t>
  </si>
  <si>
    <t xml:space="preserve">DWC_D5MQ3L_ODT120_PU620 </t>
  </si>
  <si>
    <t xml:space="preserve">DWC_D5MQ3L_ODT120       </t>
  </si>
  <si>
    <t xml:space="preserve">DWC_D5MQ3L_ODT40_PD415  </t>
  </si>
  <si>
    <t xml:space="preserve">DWC_D5MQ3L_ODT40_PD500  </t>
  </si>
  <si>
    <t xml:space="preserve">DWC_D5MQ3L_ODT40_PD620  </t>
  </si>
  <si>
    <t xml:space="preserve">DWC_D5MQ3L_ODT40_PU415  </t>
  </si>
  <si>
    <t xml:space="preserve">DWC_D5MQ3L_ODT40_PU500  </t>
  </si>
  <si>
    <t xml:space="preserve">DWC_D5MQ3L_ODT40_PU620  </t>
  </si>
  <si>
    <t xml:space="preserve">DWC_D5MQ3L_ODT40        </t>
  </si>
  <si>
    <t xml:space="preserve">DWC_D5MQ3L_ODT60_PD415  </t>
  </si>
  <si>
    <t xml:space="preserve">DWC_D5MQ3L_ODT60_PD500  </t>
  </si>
  <si>
    <t xml:space="preserve">DWC_D5MQ3L_ODT60_PD620  </t>
  </si>
  <si>
    <t xml:space="preserve">DWC_D5MQ3L_ODT60_PU415  </t>
  </si>
  <si>
    <t xml:space="preserve">DWC_D5MQ3L_ODT60_PU500  </t>
  </si>
  <si>
    <t xml:space="preserve">DWC_D5MQ3L_ODT60_PU620  </t>
  </si>
  <si>
    <t xml:space="preserve">DWC_D5MQ3L_ODT60        </t>
  </si>
  <si>
    <t xml:space="preserve">DWC_D5MQ3L_ODTOFF_PD415 </t>
  </si>
  <si>
    <t xml:space="preserve">DWC_D5MQ3L_ODTOFF_PD500 </t>
  </si>
  <si>
    <t xml:space="preserve">DWC_D5MQ3L_ODTOFF_PD620 </t>
  </si>
  <si>
    <t xml:space="preserve">DWC_D5MQ3L_ODTOFF_PU415 </t>
  </si>
  <si>
    <t xml:space="preserve">DWC_D5MQ3L_ODTOFF_PU500 </t>
  </si>
  <si>
    <t xml:space="preserve">DWC_D5MQ3L_ODTOFF_PU620 </t>
  </si>
  <si>
    <t xml:space="preserve">DWC_D5MQ3L_ODTOFF       </t>
  </si>
  <si>
    <t>DDR4 DWC_D5M_PDQS cell  Z0=34-Ohm Driver</t>
  </si>
  <si>
    <t xml:space="preserve">DDR4 DWC_D5M_PDQS cell  Z0=34-Ohm Driver SR=01 </t>
  </si>
  <si>
    <t xml:space="preserve">DDR4 DWC_D5M_PDQS cell  Z0=34-Ohm Driver SR=10 </t>
  </si>
  <si>
    <t xml:space="preserve">DDR4 DWC_D5M_PDQS cell  Z0=34-Ohm Driver SR=11 </t>
  </si>
  <si>
    <t>DDR4 DWC_D5M_PDQS cell  Z0=48-Ohm Driver</t>
  </si>
  <si>
    <t xml:space="preserve">DDR4 DWC_D5M_PDQS cell  Z0=48-Ohm Driver SR=01 </t>
  </si>
  <si>
    <t xml:space="preserve">DDR4 DWC_D5M_PDQS cell  Z0=48-Ohm Driver SR=10 </t>
  </si>
  <si>
    <t xml:space="preserve">DDR4 DWC_D5M_PDQS cell  Z0=48-Ohm Driver SR=11 </t>
  </si>
  <si>
    <t>DDR4 DWC_D5M_PDQS cell 120-Ohm ODT PD415 Receiver</t>
  </si>
  <si>
    <t>DDR4 DWC_D5M_PDQS cell 120-Ohm ODT PD500 Receiver</t>
  </si>
  <si>
    <t>DDR4 DWC_D5M_PDQS cell 120-Ohm ODT PD620 Receiver</t>
  </si>
  <si>
    <t>DDR4 DWC_D5M_PDQS cell 120-Ohm ODT PU415 Receiver</t>
  </si>
  <si>
    <t>DDR4 DWC_D5M_PDQS cell 120-Ohm ODT PU500 Receiver</t>
  </si>
  <si>
    <t>DDR4 DWC_D5M_PDQS cell 120-Ohm ODT PU620 Receiver</t>
  </si>
  <si>
    <t>DDR4 DWC_D5M_PDQS cell 120-Ohm ODT Receiver</t>
  </si>
  <si>
    <t>DDR4 DWC_D5M_PDQS cell 240-Ohm ODT PD415 Receiver</t>
  </si>
  <si>
    <t>DDR4 DWC_D5M_PDQS cell 240-Ohm ODT PD500 Receiver</t>
  </si>
  <si>
    <t>DDR4 DWC_D5M_PDQS cell 240-Ohm ODT PD620 Receiver</t>
  </si>
  <si>
    <t>DDR4 DWC_D5M_PDQS cell 240-Ohm ODT PU415 Receiver</t>
  </si>
  <si>
    <t>DDR4 DWC_D5M_PDQS cell 240-Ohm ODT PU500 Receiver</t>
  </si>
  <si>
    <t>DDR4 DWC_D5M_PDQS cell 240-Ohm ODT PU620 Receiver</t>
  </si>
  <si>
    <t>DDR4 DWC_D5M_PDQS cell 240-Ohm ODT Receiver</t>
  </si>
  <si>
    <t>DDR4 DWC_D5M_PDQS cell 40-Ohm ODT PD415 Receiver</t>
  </si>
  <si>
    <t>DDR4 DWC_D5M_PDQS cell 40-Ohm ODT PD500 Receiver</t>
  </si>
  <si>
    <t>DDR4 DWC_D5M_PDQS cell 40-Ohm ODT PD620 Receiver</t>
  </si>
  <si>
    <t>DDR4 DWC_D5M_PDQS cell 40-Ohm ODT PU415 Receiver</t>
  </si>
  <si>
    <t>DDR4 DWC_D5M_PDQS cell 40-Ohm ODT PU500 Receiver</t>
  </si>
  <si>
    <t>DDR4 DWC_D5M_PDQS cell 34-Ohm ODT PU620 Receiver</t>
  </si>
  <si>
    <t>DDR4 DWC_D5M_PDQS cell 40-Ohm ODT Receiver</t>
  </si>
  <si>
    <t>DDR4 DWC_D5M_PDQS cell 40-Ohm ODT PU620 Receiver</t>
  </si>
  <si>
    <t>DDR4 DWC_D5M_PDQS cell 48-Ohm ODT PD415 Receiver</t>
  </si>
  <si>
    <t>DDR4 DWC_D5M_PDQS cell 48-Ohm ODT PD500 Receiver</t>
  </si>
  <si>
    <t>DDR4 DWC_D5M_PDQS cell 48-Ohm ODT PD620 Receiver</t>
  </si>
  <si>
    <t>DDR4 DWC_D5M_PDQS cell 48-Ohm ODT PU415 Receiver</t>
  </si>
  <si>
    <t>DDR4 DWC_D5M_PDQS cell 48-Ohm ODT PU500 Receiver</t>
  </si>
  <si>
    <t>DDR4 DWC_D5M_PDQS cell 48-Ohm ODT PU620 Receiver</t>
  </si>
  <si>
    <t>DDR4 DWC_D5M_PDQS cell 48-Ohm ODT Receiver</t>
  </si>
  <si>
    <t>DDR4 DWC_D5M_PDQS cell 60-Ohm ODT PD415 Receiver</t>
  </si>
  <si>
    <t>DDR4 DWC_D5M_PDQS cell 60-Ohm ODT PD500 Receiver</t>
  </si>
  <si>
    <t>DDR4 DWC_D5M_PDQS cell 60-Ohm ODT PD620 Receiver</t>
  </si>
  <si>
    <t>DDR4 DWC_D5M_PDQS cell 60-Ohm ODT PU415 Receiver</t>
  </si>
  <si>
    <t>DDR4 DWC_D5M_PDQS cell 60-Ohm ODT PU500 Receiver</t>
  </si>
  <si>
    <t>DDR4 DWC_D5M_PDQS cell 60-Ohm ODT PU620 Receiver</t>
  </si>
  <si>
    <t>DDR4 DWC_D5M_PDQS cell 60-Ohm ODT Receiver</t>
  </si>
  <si>
    <t>DDR4 DWC_D5M_PDQS cell 80-Ohm ODT PD415 Receiver</t>
  </si>
  <si>
    <t>DDR4 DWC_D5M_PDQS cell 80-Ohm ODT PD500 Receiver</t>
  </si>
  <si>
    <t>DDR4 DWC_D5M_PDQS cell 80-Ohm ODT PD620 Receiver</t>
  </si>
  <si>
    <t>DDR4 DWC_D5M_PDQS cell 80-Ohm ODT PU415 Receiver</t>
  </si>
  <si>
    <t>DDR4 DWC_D5M_PDQS cell 80-Ohm ODT PU500 Receiver</t>
  </si>
  <si>
    <t>DDR4 DWC_D5M_PDQS cell 80-Ohm ODT PU620 Receiver</t>
  </si>
  <si>
    <t>DDR4 DWC_D5M_PDQS cell 80-Ohm ODT Receiver</t>
  </si>
  <si>
    <t>DDR4 DWC_D5M_PDQS cell ODT off PD415 Receiver</t>
  </si>
  <si>
    <t>DDR4 DWC_D5M_PDQS cell ODT off PD500 Receiver</t>
  </si>
  <si>
    <t>DDR4 DWC_D5M_PDQS cell ODT off PD620 Receiver</t>
  </si>
  <si>
    <t>DDR4 DWC_D5M_PDQS cell ODT off PU415 Receiver</t>
  </si>
  <si>
    <t>DDR4 DWC_D5M_PDQS cell ODT off PU500 Receiver</t>
  </si>
  <si>
    <t>DDR4 DWC_D5M_PDQS cell ODT off PU620 Receiver</t>
  </si>
  <si>
    <t>DDR4 DWC_D5M_PDQS cell ODT off Receiver</t>
  </si>
  <si>
    <t>DDR3L DWC_D5M_PDQS cell  Z0=34-Ohm Driver</t>
  </si>
  <si>
    <t xml:space="preserve">DDR3L DWC_D5M_PDQS cell  Z0=34-Ohm Driver SR=01 </t>
  </si>
  <si>
    <t xml:space="preserve">DDR3L DWC_D5M_PDQS cell  Z0=34-Ohm Driver SR=10 </t>
  </si>
  <si>
    <t xml:space="preserve">DDR3L DWC_D5M_PDQS cell  Z0=34-Ohm Driver SR=11 </t>
  </si>
  <si>
    <t>DDR3L DWC_D5M_PDQS cell  Z0=40-Ohm Driver</t>
  </si>
  <si>
    <t xml:space="preserve">DDR3L DWC_D5M_PDQS cell  Z0=40-Ohm Driver SR=01 </t>
  </si>
  <si>
    <t xml:space="preserve">DDR3L DWC_D5M_PDQS cell  Z0=40-Ohm Driver SR=10 </t>
  </si>
  <si>
    <t xml:space="preserve">DDR3L DWC_D5M_PDQS cell  Z0=40-Ohm Driver SR=11 </t>
  </si>
  <si>
    <t>DDR3L DWC_D5M_PDQS cell 120-Ohm ODT PD415 Receiver</t>
  </si>
  <si>
    <t>DDR3L DWC_D5M_PDQS cell 120-Ohm ODT PD500 Receiver</t>
  </si>
  <si>
    <t>DDR3L DWC_D5M_PDQS cell 120-Ohm ODT PD620 Receiver</t>
  </si>
  <si>
    <t>DDR3L DWC_D5M_PDQS cell 120-Ohm ODT PU415 Receiver</t>
  </si>
  <si>
    <t>DDR3L DWC_D5M_PDQS cell 120-Ohm ODT PU500 Receiver</t>
  </si>
  <si>
    <t>DDR3L DWC_D5M_PDQS cell 120-Ohm ODT PU620 Receiver</t>
  </si>
  <si>
    <t>DDR3L DWC_D5M_PDQS cell 120-Ohm ODT Receiver</t>
  </si>
  <si>
    <t>DDR3L DWC_D5M_PDQS cell 40-Ohm ODT PD415 Receiver</t>
  </si>
  <si>
    <t>DDR3L DWC_D5M_PDQS cell 40-Ohm ODT PD500 Receiver</t>
  </si>
  <si>
    <t>DDR3L DWC_D5M_PDQS cell 40-Ohm ODT PD620 Receiver</t>
  </si>
  <si>
    <t>DDR3L DWC_D5M_PDQS cell 40-Ohm ODT PU415 Receiver</t>
  </si>
  <si>
    <t>DDR3L DWC_D5M_PDQS cell 40-Ohm ODT PU500 Receiver</t>
  </si>
  <si>
    <t>DDR3L DWC_D5M_PDQS cell 40-Ohm ODT PU620 Receiver</t>
  </si>
  <si>
    <t>DDR3L DWC_D5M_PDQS cell 40-Ohm ODT Receiver</t>
  </si>
  <si>
    <t>DDR3L DWC_D5M_PDQS cell 60-Ohm ODT PD415 Receiver</t>
  </si>
  <si>
    <t>DDR3L DWC_D5M_PDQS cell 60-Ohm ODT PD500 Receiver</t>
  </si>
  <si>
    <t>DDR3L DWC_D5M_PDQS cell 60-Ohm ODT PD620 Receiver</t>
  </si>
  <si>
    <t>DDR3L DWC_D5M_PDQS cell 60-Ohm ODT PU415 Receiver</t>
  </si>
  <si>
    <t>DDR3L DWC_D5M_PDQS cell 60-Ohm ODT PU500 Receiver</t>
  </si>
  <si>
    <t>DDR3L DWC_D5M_PDQS cell 60-Ohm ODT PU620 Receiver</t>
  </si>
  <si>
    <t>DDR3L DWC_D5M_PDQS cell 60-Ohm ODT Receiver</t>
  </si>
  <si>
    <t>DDR3L DWC_D5M_PDQS cell ODT off PD415 Receiver</t>
  </si>
  <si>
    <t>DDR3L DWC_D5M_PDQS cell ODT off PD500 Receiver</t>
  </si>
  <si>
    <t>DDR3L DWC_D5M_PDQS cell ODT off PD620 Receiver</t>
  </si>
  <si>
    <t>DDR3L DWC_D5M_PDQS cell ODT off PU415 Receiver</t>
  </si>
  <si>
    <t>DDR3L DWC_D5M_PDQS cell ODT off PU500 Receiver</t>
  </si>
  <si>
    <t>DDR3L DWC_D5M_PDQS cell ODT off PU620 Receiver</t>
  </si>
  <si>
    <t>DDR3L DWC_D5M_PDQS cell ODT off Receiver</t>
  </si>
  <si>
    <t>LPDDR4 DWC_D5M_PDQS cell  Z0=40-Ohm Driver</t>
  </si>
  <si>
    <t>LPDDR4 DWC_D5M_PDQS cell  Z0=40-Ohm Driver SR=01</t>
  </si>
  <si>
    <t>LPDDR4 DWC_D5M_PDQS cell  Z0=40-Ohm Driver SR=10</t>
  </si>
  <si>
    <t>LPDDR4 DWC_D5M_PDQS cell  Z0=40-Ohm Driver SR=11</t>
  </si>
  <si>
    <t>LPDDR4 DWC_D5M_PDQS cell  Z0=48-Ohm Driver</t>
  </si>
  <si>
    <t>LPDDR4 DWC_D5M_PDQS cell  Z0=48-Ohm Driver SR=01</t>
  </si>
  <si>
    <t>LPDDR4 DWC_D5M_PDQS cell  Z0=48-Ohm Driver SR=10</t>
  </si>
  <si>
    <t>LPDDR4 DWC_D5M_PDQS cell  Z0=48-Ohm Driver SR=11</t>
  </si>
  <si>
    <t>LPDDR4 DWC_D5M_PDQS cell  Z0=60-Ohm Driver</t>
  </si>
  <si>
    <t>LPDDR4 DWC_D5M_PDQS cell  Z0=60-Ohm Driver SR=01</t>
  </si>
  <si>
    <t>LPDDR4 DWC_D5M_PDQS cell  Z0=60-Ohm Driver SR=10</t>
  </si>
  <si>
    <t>LPDDR4 DWC_D5M_PDQS cell  Z0=60-Ohm Driver SR=11</t>
  </si>
  <si>
    <t>LPDDR4 DWC_D5M_PDQS cell  Z0=80-Ohm Driver</t>
  </si>
  <si>
    <t>LPDDR4 DWC_D5M_PDQS cell  Z0=80-Ohm Driver SR=01</t>
  </si>
  <si>
    <t>LPDDR4 DWC_D5M_PDQS cell  Z0=80-Ohm Driver SR=10</t>
  </si>
  <si>
    <t>LPDDR4 DWC_D5M_PDQS cell  Z0=80-Ohm Driver SR=11</t>
  </si>
  <si>
    <t>LPDDR4 DWC_D5M_PDQS cell  Z0=96-Ohm Driver</t>
  </si>
  <si>
    <t>LPDDR4 DWC_D5M_PDQS cell  Z0=96-Ohm Driver SR=01</t>
  </si>
  <si>
    <t>LPDDR4 DWC_D5M_PDQS cell  Z0=96-Ohm Driver SR=10</t>
  </si>
  <si>
    <t>LPDDR4 DWC_D5M_PDQS cell  Z0=96-Ohm Driver SR=11</t>
  </si>
  <si>
    <t>LPDDR4 DWC_D5M_PDQS cell  Z0=120-Ohm Driver</t>
  </si>
  <si>
    <t>LPDDR4 DWC_D5M_PDQS cell  Z0=120-Ohm Driver SR=01</t>
  </si>
  <si>
    <t>LPDDR4 DWC_D5M_PDQS cell  Z0=120-Ohm Driver SR=10</t>
  </si>
  <si>
    <t>LPDDR4 DWC_D5M_PDQS cell  Z0=120-Ohm Driver SR=11</t>
  </si>
  <si>
    <t>LPDDR4 DWC_D5M_PDQS cell  Z0=160-Ohm Driver</t>
  </si>
  <si>
    <t>LPDDR4 DWC_D5M_PDQS cell  Z0=180-Ohm Driver SR=01</t>
  </si>
  <si>
    <t>LPDDR4 DWC_D5M_PDQS cell  Z0=180-Ohm Driver SR=10</t>
  </si>
  <si>
    <t>LPDDR4 DWC_D5M_PDQS cell  Z0=180-Ohm Driver SR=11</t>
  </si>
  <si>
    <t>LPDDR4 DWC_D5M_PDQS cell  Z0=240-Ohm Driver</t>
  </si>
  <si>
    <t>LPDDR4 DWC_D5M_PDQS cell  Z0=240-Ohm Driver SR=01</t>
  </si>
  <si>
    <t>LPDDR4 DWC_D5M_PDQS cell  Z0=240-Ohm Driver SR=10</t>
  </si>
  <si>
    <t>LPDDR4 DWC_D5M_PDQS cell  Z0=240-Ohm Driver SR=11</t>
  </si>
  <si>
    <t>LPDDR4 DWC_D5M_PDQS cell  Z0=480-Ohm Driver</t>
  </si>
  <si>
    <t>LPDDR4 DWC_D5M_PDQS cell  Z0=480-Ohm Driver SR=01</t>
  </si>
  <si>
    <t>LPDDR4 DWC_D5M_PDQS cell  Z0=480-Ohm Driver SR=10</t>
  </si>
  <si>
    <t>LPDDR4 DWC_D5M_PDQS cell  Z0=480-Ohm Driver SR=11</t>
  </si>
  <si>
    <t>LPDDR4 DWC_D5M_PDQS cell 40-Ohm ODT PD415 Receiver</t>
  </si>
  <si>
    <t>LPDDR4 DWC_D5M_PDQS cell 40-Ohm ODT PD500 Receiver</t>
  </si>
  <si>
    <t>LPDDR4 DWC_D5M_PDQS cell 40-Ohm ODT PD620 Receiver</t>
  </si>
  <si>
    <t>LPDDR4 DWC_D5M_PDQS cell 40-Ohm ODT PU415 Receiver</t>
  </si>
  <si>
    <t>LPDDR4 DWC_D5M_PDQS cell 40-Ohm ODT PU500 Receiver</t>
  </si>
  <si>
    <t>LPDDR4 DWC_D5M_PDQS cell 40-Ohm ODT PU620 Receiver</t>
  </si>
  <si>
    <t>LPDDR4 DWC_D5M_PDQS cell 40-Ohm ODT Receiver</t>
  </si>
  <si>
    <t>LPDDR4 DWC_D5M_PDQS cell 48-Ohm ODT PD415 Receiver</t>
  </si>
  <si>
    <t>LPDDR4 DWC_D5M_PDQS cell 48-Ohm ODT PD500 Receiver</t>
  </si>
  <si>
    <t>LPDDR4 DWC_D5M_PDQS cell 48-Ohm ODT PD620 Receiver</t>
  </si>
  <si>
    <t>LPDDR4 DWC_D5M_PDQS cell 48-Ohm ODT PU415 Receiver</t>
  </si>
  <si>
    <t>LPDDR4 DWC_D5M_PDQS cell 48-Ohm ODT PU500 Receiver</t>
  </si>
  <si>
    <t>LPDDR4 DWC_D5M_PDQS cell 48-Ohm ODT PU620 Receiver</t>
  </si>
  <si>
    <t>LPDDR4 DWC_D5M_PDQS cell 48-Ohm ODT Receiver</t>
  </si>
  <si>
    <t>LPDDR4 DWC_D5M_PDQS cell 60-Ohm ODT PD415 Receiver</t>
  </si>
  <si>
    <t>LPDDR4 DWC_D5M_PDQS cell 60-Ohm ODT PD500 Receiver</t>
  </si>
  <si>
    <t>LPDDR4 DWC_D5M_PDQS cell 60-Ohm ODT PD620 Receiver</t>
  </si>
  <si>
    <t>LPDDR4 DWC_D5M_PDQS cell 60-Ohm ODT PU415 Receiver</t>
  </si>
  <si>
    <t>LPDDR4 DWC_D5M_PDQS cell 60-Ohm ODT PU500 Receiver</t>
  </si>
  <si>
    <t>LPDDR4 DWC_D5M_PDQS cell 60-Ohm ODT PU620 Receiver</t>
  </si>
  <si>
    <t>LPDDR4 DWC_D5M_PDQS cell 60-Ohm ODT Receiver</t>
  </si>
  <si>
    <t>LPDDR4 DWC_D5M_PDQS cell 80-Ohm ODT PD415 Receiver</t>
  </si>
  <si>
    <t>LPDDR4 DWC_D5M_PDQS cell 80-Ohm ODT PD500 Receiver</t>
  </si>
  <si>
    <t>LPDDR4 DWC_D5M_PDQS cell 80-Ohm ODT PD620 Receiver</t>
  </si>
  <si>
    <t>LPDDR4 DWC_D5M_PDQS cell 80-Ohm ODT PU415 Receiver</t>
  </si>
  <si>
    <t>LPDDR4 DWC_D5M_PDQS cell 80-Ohm ODT PU500 Receiver</t>
  </si>
  <si>
    <t>LPDDR4 DWC_D5M_PDQS cell 80-Ohm ODT PU620 Receiver</t>
  </si>
  <si>
    <t>LPDDR4 DWC_D5M_PDQS cell 80-Ohm ODT Receiver</t>
  </si>
  <si>
    <t>LPDDR4 DWC_D5M_PDQS cell 120-Ohm ODT PD415 Receiver</t>
  </si>
  <si>
    <t>LPDDR4 DWC_D5M_PDQS cell 120-Ohm ODT PD500 Receiver</t>
  </si>
  <si>
    <t>LPDDR4 DWC_D5M_PDQS cell 120-Ohm ODT PD620 Receiver</t>
  </si>
  <si>
    <t>LPDDR4 DWC_D5M_PDQS cell 120-Ohm ODT PU415 Receiver</t>
  </si>
  <si>
    <t>LPDDR4 DWC_D5M_PDQS cell 120-Ohm ODT PU500 Receiver</t>
  </si>
  <si>
    <t>LPDDR4 DWC_D5M_PDQS cell 120-Ohm ODT PU620 Receiver</t>
  </si>
  <si>
    <t>LPDDR4 DWC_D5M_PDQS cell 120-Ohm ODT Receiver</t>
  </si>
  <si>
    <t xml:space="preserve">LPDDR4 DWC_D5M_PDQS cell  Z0=480-Ohm Driver    </t>
  </si>
  <si>
    <t xml:space="preserve">LPDDR4 DWC_D5M_PDQS cell  Z0=360-Ohm Driver SR=01   </t>
  </si>
  <si>
    <t xml:space="preserve">LPDDR4 DWC_D5M_PDQS cell  Z0=360-Ohm Driver SR=10   </t>
  </si>
  <si>
    <t xml:space="preserve">LPDDR4 DWC_D5M_PDQS cell  Z0=360-Ohm Driver SR=11   </t>
  </si>
  <si>
    <t>LPDDR4 DWC_D5M_PDQS cell 240-Ohm ODT PD415 Receiver</t>
  </si>
  <si>
    <t>LPDDR4 DWC_D5M_PDQS cell 240-Ohm ODT PD500 Receiver</t>
  </si>
  <si>
    <t>LPDDR4 DWC_D5M_PDQS cell 240-Ohm ODT PD620 Receiver</t>
  </si>
  <si>
    <t>LPDDR4 DWC_D5M_PDQS cell 240-Ohm ODT PU415 Receiver</t>
  </si>
  <si>
    <t>LPDDR4 DWC_D5M_PDQS cell 240-Ohm ODT PU500 Receiver</t>
  </si>
  <si>
    <t>LPDDR4 DWC_D5M_PDQS cell 240-Ohm ODT PU620 Receiver</t>
  </si>
  <si>
    <t>LPDDR4 DWC_D5M_PDQS cell 240-Ohm ODT Receiver</t>
  </si>
  <si>
    <t>LPDDR4 DWC_D5M_PDQS cell ODT off PD415 Receiver</t>
  </si>
  <si>
    <t>LPDDR4 DWC_D5M_PDQS cell ODT off PD500 Receiver</t>
  </si>
  <si>
    <t>LPDDR4 DWC_D5M_PDQS cell ODT off PD620 Receiver</t>
  </si>
  <si>
    <t>LPDDR4 DWC_D5M_PDQS cell ODT off PU415 Receiver</t>
  </si>
  <si>
    <t>LPDDR4 DWC_D5M_PDQS cell ODT off PU500 Receiver</t>
  </si>
  <si>
    <t>LPDDR4 DWC_D5M_PDQS cell ODT off PU620 Receiver</t>
  </si>
  <si>
    <t>LPDDR4 DWC_D5M_PDQS cell ODT off Receiver</t>
  </si>
  <si>
    <t>DDR3L</t>
  </si>
  <si>
    <t>DDR Type</t>
  </si>
  <si>
    <t>Cell Type</t>
  </si>
  <si>
    <t>Driver</t>
  </si>
  <si>
    <t>Receiver</t>
  </si>
  <si>
    <t>Signal Type</t>
  </si>
  <si>
    <t>SR</t>
  </si>
  <si>
    <t>00</t>
  </si>
  <si>
    <t>01</t>
  </si>
  <si>
    <t>10</t>
  </si>
  <si>
    <t>11</t>
  </si>
  <si>
    <t>1.95</t>
  </si>
  <si>
    <t xml:space="preserve">Fixed ODT and Output impedance drop down lists to match IBIS model selections
Fixed bug in u-boot file output generation
put file name and version in GEL and u-boot header
added isna to TMOD function </t>
  </si>
  <si>
    <t>LPDDR4 DWC_D5M_PDQS cell  Z0=180-Ohm Driver</t>
  </si>
  <si>
    <t>LPDDR4 DWC_D5M_PDQS cell  Z0=160-Ohm Driver SR=01</t>
  </si>
  <si>
    <t>LPDDR4 DWC_D5M_PDQS cell  Z0=160-Ohm Driver SR=10</t>
  </si>
  <si>
    <t>LPDDR4 DWC_D5M_PDQS cell  Z0=160-Ohm Driver SR=11</t>
  </si>
  <si>
    <t>Equivalent models</t>
  </si>
  <si>
    <t>360</t>
  </si>
  <si>
    <t xml:space="preserve">LPDDR4 DWC_D5M_PDQS cell 240-Ohm ODT Receiver      </t>
  </si>
  <si>
    <t>PD415</t>
  </si>
  <si>
    <t>PD500</t>
  </si>
  <si>
    <t>PD620</t>
  </si>
  <si>
    <t>PU415</t>
  </si>
  <si>
    <t>PU500</t>
  </si>
  <si>
    <t>PU620</t>
  </si>
  <si>
    <t>NONE</t>
  </si>
  <si>
    <t>PU/PD</t>
  </si>
  <si>
    <t>Suggested Models to Use</t>
  </si>
  <si>
    <t>Clock Driver</t>
  </si>
  <si>
    <t>Addr/Cmd/Ctrl Driver</t>
  </si>
  <si>
    <t>Data Receiver</t>
  </si>
  <si>
    <t>Data Driver</t>
  </si>
  <si>
    <t>DQS Receiver</t>
  </si>
  <si>
    <t>DQS Driver</t>
  </si>
  <si>
    <t>help</t>
  </si>
  <si>
    <t>Model</t>
  </si>
  <si>
    <t>Data_ACC</t>
  </si>
  <si>
    <t>AM65x_Rtt_value</t>
  </si>
  <si>
    <t>AM65x_Ron_AC_value</t>
  </si>
  <si>
    <t>AM65x_Ron_DQ_value</t>
  </si>
  <si>
    <t xml:space="preserve">AM65x DQ Driver Output Impedance = </t>
  </si>
  <si>
    <t xml:space="preserve">AM65x AC Driver Output Impedance = </t>
  </si>
  <si>
    <t>1.96</t>
  </si>
  <si>
    <t>Added IBIS tab to help choose correct IBIS model based on configuration
added comments to separate AC and DQ calibration segments in GEL tab</t>
  </si>
  <si>
    <t>AM65x_AC_Slew</t>
  </si>
  <si>
    <t>AM65x_DQ_Slew</t>
  </si>
  <si>
    <t>Slow_Mode</t>
  </si>
  <si>
    <t>Medium_Slow_Mode</t>
  </si>
  <si>
    <t>Medium_Fast_Mode</t>
  </si>
  <si>
    <t>Fast_Mode</t>
  </si>
  <si>
    <t>DDRSS_DDRPHY_ACIOCR0</t>
  </si>
  <si>
    <t>ACSR[31:30]</t>
  </si>
  <si>
    <t>RSTIOM[29]</t>
  </si>
  <si>
    <t>RSTPDR[28]</t>
  </si>
  <si>
    <t>Reserved[27]</t>
  </si>
  <si>
    <t>ESR[23:16]</t>
  </si>
  <si>
    <t>ACPNUMSEL[11:10]</t>
  </si>
  <si>
    <t>CKDCC[9:6]</t>
  </si>
  <si>
    <t>ACRANKCLKSEL[0]</t>
  </si>
  <si>
    <t>ACODTMODE[3:2]</t>
  </si>
  <si>
    <t>Reserved[1]</t>
  </si>
  <si>
    <t>ACPDRMODE[5:4]</t>
  </si>
  <si>
    <t>RSTODT[26]</t>
  </si>
  <si>
    <t xml:space="preserve">/* AC I/O Configuration Register 0 */ </t>
  </si>
  <si>
    <t>DDRSS_DDRPHY_DX8SLmnDQSCTL</t>
  </si>
  <si>
    <t>RRRMODE[24]</t>
  </si>
  <si>
    <t>WRRMODE[21]</t>
  </si>
  <si>
    <t>DQSGX[20:19]</t>
  </si>
  <si>
    <t>LPPLLPD[18]</t>
  </si>
  <si>
    <t>LPIOPD[17]</t>
  </si>
  <si>
    <t>Reserved[16]</t>
  </si>
  <si>
    <t>PDAMODE[15]</t>
  </si>
  <si>
    <t>QSCNTEN[14]</t>
  </si>
  <si>
    <t>UDQIOM[13]</t>
  </si>
  <si>
    <t>DXSR[9:8]</t>
  </si>
  <si>
    <t>DQSNRES[7:4]</t>
  </si>
  <si>
    <t>DQSRES[3:0]</t>
  </si>
  <si>
    <t xml:space="preserve">/* DATX8 0 DQS Control Register */ </t>
  </si>
  <si>
    <t xml:space="preserve">/* DATX8 1 DQS Control Register */ </t>
  </si>
  <si>
    <t xml:space="preserve">/* DATX8 2 DQS Control Register */ </t>
  </si>
  <si>
    <t>DDRSS_DDRPHY_DX8SL0DQSCTL</t>
  </si>
  <si>
    <t>DDRSS_DDRPHY_DX8SL1DQSCTL</t>
  </si>
  <si>
    <t>DDRSS_DDRPHY_DX8SL2DQSCTL</t>
  </si>
  <si>
    <t>1.98</t>
  </si>
  <si>
    <t>Fixed issue with byte enablement in GCR registers</t>
  </si>
  <si>
    <t>1.99</t>
  </si>
  <si>
    <t xml:space="preserve">Fixed DDR3 ODT table </t>
  </si>
  <si>
    <t>Fast Mode</t>
  </si>
  <si>
    <t>60ohms</t>
  </si>
  <si>
    <t>DDR4/LPDDR4/DDR3L</t>
  </si>
  <si>
    <t>DDR3L lists per HIF signal</t>
  </si>
  <si>
    <t>2.00</t>
  </si>
  <si>
    <t>Aligned with fixed in PG2.0, separating output impedance setting for addr and data
changed DDR3 to DDR3L</t>
  </si>
  <si>
    <t>Data</t>
  </si>
  <si>
    <t>Addr</t>
  </si>
  <si>
    <t>No</t>
  </si>
  <si>
    <t>2.01</t>
  </si>
  <si>
    <t>Updated LPDDR4 ODT and driver settings for DDR side</t>
  </si>
  <si>
    <t>2.02</t>
  </si>
  <si>
    <t>added RTOS tab with correct licensing header at top of file</t>
  </si>
  <si>
    <t xml:space="preserve"> * All rights reserved.</t>
  </si>
  <si>
    <t xml:space="preserve"> *</t>
  </si>
  <si>
    <t xml:space="preserve"> * Redistribution and use in source and binary forms, with or without</t>
  </si>
  <si>
    <t xml:space="preserve"> * modification, are permitted provided that the following conditions</t>
  </si>
  <si>
    <t xml:space="preserve"> * are met:</t>
  </si>
  <si>
    <t xml:space="preserve"> * *  Redistributions of source code must retain the above copyright</t>
  </si>
  <si>
    <t xml:space="preserve"> *    notice, this list of conditions and the following disclaimer.</t>
  </si>
  <si>
    <t xml:space="preserve"> * *  Redistributions in binary form must reproduce the above copyright</t>
  </si>
  <si>
    <t xml:space="preserve"> *    notice, this list of conditions and the following disclaimer in the</t>
  </si>
  <si>
    <t xml:space="preserve"> *    documentation and/or other materials provided with the distribution.</t>
  </si>
  <si>
    <t xml:space="preserve"> * *  Neither the name of Texas Instruments Incorporated nor the names of</t>
  </si>
  <si>
    <t xml:space="preserve"> *    its contributors may be used to endorse or promote products derived</t>
  </si>
  <si>
    <t xml:space="preserve"> *    from this software without specific prior written permission.</t>
  </si>
  <si>
    <t xml:space="preserve"> * THIS SOFTWARE IS PROVIDED BY THE COPYRIGHT HOLDERS AND CONTRIBUTORS "AS IS"</t>
  </si>
  <si>
    <t xml:space="preserve"> * AND ANY EXPRESS OR IMPLIED WARRANTIES, INCLUDING, BUT NOT LIMITED TO,</t>
  </si>
  <si>
    <t xml:space="preserve"> * THE IMPLIED WARRANTIES OF MERCHANTABILITY AND FITNESS FOR A PARTICULAR</t>
  </si>
  <si>
    <t xml:space="preserve"> * PURPOSE ARE DISCLAIMED. IN NO EVENT SHALL THE COPYRIGHT OWNER OR</t>
  </si>
  <si>
    <t xml:space="preserve"> * CONTRIBUTORS BE LIABLE FOR ANY DIRECT, INDIRECT, INCIDENTAL, SPECIAL,</t>
  </si>
  <si>
    <t xml:space="preserve"> * EXEMPLARY, OR CONSEQUENTIAL DAMAGES (INCLUDING, BUT NOT LIMITED TO,</t>
  </si>
  <si>
    <t xml:space="preserve"> * PROCUREMENT OF SUBSTITUTE GOODS OR SERVICES; LOSS OF USE, DATA, OR PROFITS;</t>
  </si>
  <si>
    <t xml:space="preserve"> * OR BUSINESS INTERRUPTION) HOWEVER CAUSED AND ON ANY THEORY OF LIABILITY,</t>
  </si>
  <si>
    <t xml:space="preserve"> * WHETHER IN CONTRACT, STRICT LIABILITY, OR TORT (INCLUDING NEGLIGENCE OR</t>
  </si>
  <si>
    <t xml:space="preserve"> * OTHERWISE) ARISING IN ANY WAY OUT OF THE USE OF THIS SOFTWARE,</t>
  </si>
  <si>
    <t xml:space="preserve"> * EVEN IF ADVISED OF THE POSSIBILITY OF SUCH DAMAGE.</t>
  </si>
  <si>
    <t>*</t>
  </si>
  <si>
    <t xml:space="preserve"> http://www.ti.com/lit/pdf/spracj0</t>
  </si>
  <si>
    <t xml:space="preserve"> Configuration Parameters</t>
  </si>
  <si>
    <t xml:space="preserve"> Memory Type:</t>
  </si>
  <si>
    <t xml:space="preserve"> Data Rate:</t>
  </si>
  <si>
    <t xml:space="preserve"> ECC Enabled:</t>
  </si>
  <si>
    <t xml:space="preserve"> Data Width:</t>
  </si>
  <si>
    <t>Use this button to export an RTOS DDR configuration .h header file</t>
  </si>
  <si>
    <t>* Redistribution and use in source and binary forms, with or without</t>
  </si>
  <si>
    <t>* modification, are permitted provided that the following conditions</t>
  </si>
  <si>
    <t>* are met:</t>
  </si>
  <si>
    <t>* *  Redistributions of source code must retain the above copyright</t>
  </si>
  <si>
    <t>*    notice, this list of conditions and the following disclaimer.</t>
  </si>
  <si>
    <t>* *  Redistributions in binary form must reproduce the above copyright</t>
  </si>
  <si>
    <t>*    notice, this list of conditions and the following disclaimer in the</t>
  </si>
  <si>
    <t>*    documentation and/or other materials provided with the distribution.</t>
  </si>
  <si>
    <t>* *  Neither the name of Texas Instruments Incorporated nor the names of</t>
  </si>
  <si>
    <t>*    its contributors may be used to endorse or promote products derived</t>
  </si>
  <si>
    <t>*    from this software without specific prior written permission.</t>
  </si>
  <si>
    <t>* THIS SOFTWARE IS PROVIDED BY THE COPYRIGHT HOLDERS AND CONTRIBUTORS "AS IS"</t>
  </si>
  <si>
    <t>* AND ANY EXPRESS OR IMPLIED WARRANTIES, INCLUDING, BUT NOT LIMITED TO,</t>
  </si>
  <si>
    <t>* THE IMPLIED WARRANTIES OF MERCHANTABILITY AND FITNESS FOR A PARTICULAR</t>
  </si>
  <si>
    <t>* PURPOSE ARE DISCLAIMED. IN NO EVENT SHALL THE COPYRIGHT OWNER OR</t>
  </si>
  <si>
    <t>* CONTRIBUTORS BE LIABLE FOR ANY DIRECT, INDIRECT, INCIDENTAL, SPECIAL,</t>
  </si>
  <si>
    <t>* EXEMPLARY, OR CONSEQUENTIAL DAMAGES (INCLUDING, BUT NOT LIMITED TO,</t>
  </si>
  <si>
    <t>* PROCUREMENT OF SUBSTITUTE GOODS OR SERVICES; LOSS OF USE, DATA, OR PROFITS;</t>
  </si>
  <si>
    <t>* OR BUSINESS INTERRUPTION) HOWEVER CAUSED AND ON ANY THEORY OF LIABILITY,</t>
  </si>
  <si>
    <t>* WHETHER IN CONTRACT, STRICT LIABILITY, OR TORT (INCLUDING NEGLIGENCE OR</t>
  </si>
  <si>
    <t>* OTHERWISE) ARISING IN ANY WAY OUT OF THE USE OF THIS SOFTWARE,</t>
  </si>
  <si>
    <t>* EVEN IF ADVISED OF THE POSSIBILITY OF SUCH DAMAGE. */</t>
  </si>
  <si>
    <t>* http://www.ti.com/lit/pdf/spracj0</t>
  </si>
  <si>
    <t>* Configuration Parameters</t>
  </si>
  <si>
    <t>* Memory Type:</t>
  </si>
  <si>
    <t>* Data Rate:</t>
  </si>
  <si>
    <t>* ECC Enabled:</t>
  </si>
  <si>
    <t>* Data Width:</t>
  </si>
  <si>
    <t>* Date Generated:</t>
  </si>
  <si>
    <t>*/</t>
  </si>
  <si>
    <t>/* Copyright (c) 2020, Texas Instruments Incorporated</t>
  </si>
  <si>
    <t>Single_Rank</t>
  </si>
  <si>
    <t xml:space="preserve"> * Copyright (c) 2020, Texas Instruments Incorporated</t>
  </si>
  <si>
    <t xml:space="preserve"> * Copyright (C) 2020 Texas Instruments Incorporated - http://www.ti.com/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</si>
</sst>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
    <numFmt numFmtId="177" formatCode="[$-409]mmmm\ d\,\ yyyy;@"/>
  </numFmts>
  <fonts count="60">
    <font>
      <sz val="10"/>
      <name val="Arial"/>
    </font>
    <font>
      <sz val="11"/>
      <color theme="1"/>
      <name val="宋体"/>
      <family val="2"/>
      <scheme val="minor"/>
    </font>
    <font>
      <sz val="11"/>
      <color theme="1"/>
      <name val="宋体"/>
      <family val="2"/>
      <scheme val="minor"/>
    </font>
    <font>
      <sz val="11"/>
      <color theme="1"/>
      <name val="宋体"/>
      <family val="2"/>
      <scheme val="minor"/>
    </font>
    <font>
      <sz val="11"/>
      <color theme="1"/>
      <name val="宋体"/>
      <family val="2"/>
      <scheme val="minor"/>
    </font>
    <font>
      <sz val="11"/>
      <color theme="1"/>
      <name val="宋体"/>
      <family val="2"/>
      <scheme val="minor"/>
    </font>
    <font>
      <sz val="11"/>
      <color theme="1"/>
      <name val="宋体"/>
      <family val="2"/>
      <scheme val="minor"/>
    </font>
    <font>
      <sz val="11"/>
      <color theme="1"/>
      <name val="宋体"/>
      <family val="2"/>
      <scheme val="minor"/>
    </font>
    <font>
      <sz val="11"/>
      <color theme="1"/>
      <name val="宋体"/>
      <family val="2"/>
      <scheme val="minor"/>
    </font>
    <font>
      <sz val="11"/>
      <color theme="1"/>
      <name val="宋体"/>
      <family val="2"/>
      <scheme val="minor"/>
    </font>
    <font>
      <b/>
      <sz val="10"/>
      <name val="Arial"/>
      <family val="2"/>
    </font>
    <font>
      <sz val="10"/>
      <name val="Arial"/>
      <family val="2"/>
    </font>
    <font>
      <sz val="11"/>
      <color theme="1"/>
      <name val="宋体"/>
      <family val="2"/>
      <scheme val="minor"/>
    </font>
    <font>
      <b/>
      <sz val="20"/>
      <name val="Arial"/>
      <family val="2"/>
    </font>
    <font>
      <sz val="14"/>
      <name val="Arial"/>
      <family val="2"/>
    </font>
    <font>
      <b/>
      <sz val="10"/>
      <color theme="0"/>
      <name val="Arial"/>
      <family val="2"/>
    </font>
    <font>
      <sz val="8"/>
      <name val="Times New Roman"/>
      <family val="1"/>
    </font>
    <font>
      <sz val="10"/>
      <color rgb="FFFF0000"/>
      <name val="Arial"/>
      <family val="2"/>
    </font>
    <font>
      <b/>
      <u/>
      <sz val="10"/>
      <color rgb="FFFF0000"/>
      <name val="Arial"/>
      <family val="2"/>
    </font>
    <font>
      <sz val="10"/>
      <name val="Times New Roman"/>
      <family val="1"/>
    </font>
    <font>
      <b/>
      <sz val="10"/>
      <name val="Times New Roman"/>
      <family val="1"/>
    </font>
    <font>
      <b/>
      <u/>
      <sz val="20"/>
      <name val="Times New Roman"/>
      <family val="1"/>
    </font>
    <font>
      <b/>
      <sz val="20"/>
      <color rgb="FFFF0000"/>
      <name val="Times New Roman"/>
      <family val="1"/>
    </font>
    <font>
      <b/>
      <u/>
      <sz val="18"/>
      <color theme="0"/>
      <name val="Times New Roman"/>
      <family val="1"/>
    </font>
    <font>
      <sz val="10"/>
      <color theme="0"/>
      <name val="Times New Roman"/>
      <family val="1"/>
    </font>
    <font>
      <b/>
      <sz val="10"/>
      <color rgb="FFFF0000"/>
      <name val="Times New Roman"/>
      <family val="1"/>
    </font>
    <font>
      <b/>
      <u/>
      <sz val="10"/>
      <color rgb="FFFF0000"/>
      <name val="Times New Roman"/>
      <family val="1"/>
    </font>
    <font>
      <i/>
      <sz val="10"/>
      <color theme="0"/>
      <name val="Times New Roman"/>
      <family val="1"/>
    </font>
    <font>
      <b/>
      <sz val="16"/>
      <color theme="0"/>
      <name val="Times New Roman"/>
      <family val="1"/>
    </font>
    <font>
      <sz val="10"/>
      <color rgb="FFFF0000"/>
      <name val="Times New Roman"/>
      <family val="1"/>
    </font>
    <font>
      <i/>
      <sz val="10"/>
      <color rgb="FFFF0000"/>
      <name val="Times New Roman"/>
      <family val="1"/>
    </font>
    <font>
      <b/>
      <sz val="20"/>
      <name val="Times New Roman"/>
      <family val="1"/>
    </font>
    <font>
      <sz val="20"/>
      <name val="Times New Roman"/>
      <family val="1"/>
    </font>
    <font>
      <b/>
      <u/>
      <sz val="10"/>
      <color theme="0"/>
      <name val="Times New Roman"/>
      <family val="1"/>
    </font>
    <font>
      <b/>
      <u/>
      <sz val="10"/>
      <name val="Times New Roman"/>
      <family val="1"/>
    </font>
    <font>
      <vertAlign val="superscript"/>
      <sz val="10"/>
      <color theme="0"/>
      <name val="Times New Roman"/>
      <family val="1"/>
    </font>
    <font>
      <sz val="10"/>
      <name val="Calibri"/>
      <family val="2"/>
    </font>
    <font>
      <b/>
      <sz val="9"/>
      <color indexed="81"/>
      <name val="Tahoma"/>
      <family val="2"/>
    </font>
    <font>
      <sz val="9"/>
      <color indexed="81"/>
      <name val="Tahoma"/>
      <family val="2"/>
    </font>
    <font>
      <sz val="8"/>
      <color rgb="FFFF0000"/>
      <name val="Times New Roman"/>
      <family val="1"/>
    </font>
    <font>
      <sz val="10"/>
      <name val="Courier New"/>
      <family val="3"/>
    </font>
    <font>
      <sz val="11"/>
      <color rgb="FFFF0000"/>
      <name val="宋体"/>
      <family val="2"/>
      <scheme val="minor"/>
    </font>
    <font>
      <i/>
      <sz val="11"/>
      <color theme="1"/>
      <name val="宋体"/>
      <family val="2"/>
      <scheme val="minor"/>
    </font>
    <font>
      <sz val="10"/>
      <color theme="1"/>
      <name val="Arial"/>
      <family val="2"/>
    </font>
    <font>
      <sz val="10"/>
      <color rgb="FFF9B073"/>
      <name val="Arial"/>
      <family val="2"/>
    </font>
    <font>
      <sz val="12"/>
      <color rgb="FF000000"/>
      <name val="Arial"/>
      <family val="2"/>
    </font>
    <font>
      <sz val="10"/>
      <color rgb="FFFF0000"/>
      <name val="Courier New"/>
      <family val="3"/>
    </font>
    <font>
      <b/>
      <sz val="10"/>
      <name val="宋体"/>
      <family val="2"/>
      <scheme val="minor"/>
    </font>
    <font>
      <sz val="10"/>
      <name val="宋体"/>
      <family val="2"/>
      <scheme val="minor"/>
    </font>
    <font>
      <i/>
      <sz val="9"/>
      <color theme="1"/>
      <name val="宋体"/>
      <family val="2"/>
      <scheme val="minor"/>
    </font>
    <font>
      <sz val="10"/>
      <color rgb="FF00B050"/>
      <name val="宋体"/>
      <family val="2"/>
      <scheme val="minor"/>
    </font>
    <font>
      <sz val="10"/>
      <color rgb="FF000000"/>
      <name val="Courier New"/>
      <family val="3"/>
    </font>
    <font>
      <sz val="8"/>
      <name val="Arial"/>
      <family val="2"/>
    </font>
    <font>
      <sz val="10"/>
      <color theme="0"/>
      <name val="Times Roman"/>
      <family val="1"/>
    </font>
    <font>
      <u/>
      <sz val="10"/>
      <color theme="10"/>
      <name val="Arial"/>
      <family val="2"/>
    </font>
    <font>
      <b/>
      <sz val="10"/>
      <color rgb="FF00B050"/>
      <name val="Arial"/>
      <family val="2"/>
    </font>
    <font>
      <b/>
      <u/>
      <sz val="10"/>
      <color rgb="FF00B050"/>
      <name val="Arial"/>
      <family val="2"/>
    </font>
    <font>
      <b/>
      <u/>
      <sz val="22"/>
      <name val="Times New Roman"/>
      <family val="1"/>
    </font>
    <font>
      <b/>
      <sz val="14"/>
      <name val="Arial"/>
      <family val="2"/>
    </font>
    <font>
      <sz val="9"/>
      <name val="宋体"/>
      <family val="3"/>
      <charset val="134"/>
    </font>
  </fonts>
  <fills count="18">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rgb="FF92D050"/>
        <bgColor indexed="64"/>
      </patternFill>
    </fill>
    <fill>
      <patternFill patternType="solid">
        <fgColor theme="0" tint="-0.14999847407452621"/>
        <bgColor indexed="64"/>
      </patternFill>
    </fill>
    <fill>
      <patternFill patternType="solid">
        <fgColor theme="1"/>
        <bgColor indexed="64"/>
      </patternFill>
    </fill>
    <fill>
      <patternFill patternType="solid">
        <fgColor rgb="FF00B050"/>
        <bgColor indexed="64"/>
      </patternFill>
    </fill>
    <fill>
      <patternFill patternType="solid">
        <fgColor rgb="FFFFFF99"/>
        <bgColor indexed="64"/>
      </patternFill>
    </fill>
    <fill>
      <patternFill patternType="solid">
        <fgColor rgb="FFFFFF0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0070C0"/>
        <bgColor indexed="64"/>
      </patternFill>
    </fill>
    <fill>
      <patternFill patternType="solid">
        <fgColor theme="0" tint="-0.14996795556505021"/>
        <bgColor indexed="64"/>
      </patternFill>
    </fill>
    <fill>
      <patternFill patternType="solid">
        <fgColor theme="0" tint="-0.24994659260841701"/>
        <bgColor indexed="64"/>
      </patternFill>
    </fill>
    <fill>
      <patternFill patternType="solid">
        <fgColor theme="0" tint="-0.249977111117893"/>
        <bgColor indexed="64"/>
      </patternFill>
    </fill>
    <fill>
      <patternFill patternType="solid">
        <fgColor rgb="FF00B0F0"/>
        <bgColor indexed="64"/>
      </patternFill>
    </fill>
    <fill>
      <patternFill patternType="solid">
        <fgColor theme="8" tint="0.59999389629810485"/>
        <bgColor indexed="64"/>
      </patternFill>
    </fill>
  </fills>
  <borders count="121">
    <border>
      <left/>
      <right/>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ck">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ck">
        <color auto="1"/>
      </right>
      <top style="thick">
        <color auto="1"/>
      </top>
      <bottom style="thick">
        <color auto="1"/>
      </bottom>
      <diagonal/>
    </border>
    <border>
      <left style="thick">
        <color auto="1"/>
      </left>
      <right style="thick">
        <color auto="1"/>
      </right>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n">
        <color theme="0"/>
      </left>
      <right style="thin">
        <color theme="0"/>
      </right>
      <top/>
      <bottom style="thin">
        <color theme="0"/>
      </bottom>
      <diagonal/>
    </border>
    <border>
      <left style="thin">
        <color theme="0"/>
      </left>
      <right style="thin">
        <color theme="0"/>
      </right>
      <top style="thin">
        <color theme="0"/>
      </top>
      <bottom style="thin">
        <color theme="0"/>
      </bottom>
      <diagonal/>
    </border>
    <border>
      <left style="thick">
        <color auto="1"/>
      </left>
      <right style="thick">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n">
        <color auto="1"/>
      </right>
      <top style="thin">
        <color auto="1"/>
      </top>
      <bottom style="thick">
        <color auto="1"/>
      </bottom>
      <diagonal/>
    </border>
    <border>
      <left style="thick">
        <color auto="1"/>
      </left>
      <right style="thin">
        <color auto="1"/>
      </right>
      <top style="thin">
        <color auto="1"/>
      </top>
      <bottom/>
      <diagonal/>
    </border>
    <border>
      <left/>
      <right style="thin">
        <color indexed="64"/>
      </right>
      <top style="thin">
        <color indexed="64"/>
      </top>
      <bottom style="thin">
        <color indexed="64"/>
      </bottom>
      <diagonal/>
    </border>
    <border>
      <left style="thick">
        <color auto="1"/>
      </left>
      <right style="thick">
        <color auto="1"/>
      </right>
      <top style="thick">
        <color auto="1"/>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theme="0"/>
      </left>
      <right style="thin">
        <color theme="0"/>
      </right>
      <top style="thin">
        <color theme="0"/>
      </top>
      <bottom/>
      <diagonal/>
    </border>
    <border>
      <left style="thin">
        <color theme="0"/>
      </left>
      <right/>
      <top/>
      <bottom style="thin">
        <color theme="0"/>
      </bottom>
      <diagonal/>
    </border>
    <border>
      <left style="thin">
        <color auto="1"/>
      </left>
      <right style="thick">
        <color auto="1"/>
      </right>
      <top style="thin">
        <color auto="1"/>
      </top>
      <bottom/>
      <diagonal/>
    </border>
    <border>
      <left/>
      <right style="thick">
        <color auto="1"/>
      </right>
      <top style="thick">
        <color auto="1"/>
      </top>
      <bottom style="thick">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top style="thin">
        <color theme="0"/>
      </top>
      <bottom style="thin">
        <color theme="0"/>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style="thin">
        <color auto="1"/>
      </bottom>
      <diagonal/>
    </border>
    <border>
      <left/>
      <right style="thick">
        <color rgb="FFFF0000"/>
      </right>
      <top/>
      <bottom style="thin">
        <color auto="1"/>
      </bottom>
      <diagonal/>
    </border>
    <border>
      <left style="thick">
        <color rgb="FFFF0000"/>
      </left>
      <right style="thin">
        <color auto="1"/>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style="thin">
        <color auto="1"/>
      </right>
      <top style="thin">
        <color auto="1"/>
      </top>
      <bottom/>
      <diagonal/>
    </border>
    <border>
      <left style="thin">
        <color auto="1"/>
      </left>
      <right style="thick">
        <color rgb="FFFF0000"/>
      </right>
      <top style="thin">
        <color auto="1"/>
      </top>
      <bottom/>
      <diagonal/>
    </border>
    <border>
      <left style="thick">
        <color rgb="FFFF0000"/>
      </left>
      <right style="thin">
        <color auto="1"/>
      </right>
      <top style="thin">
        <color auto="1"/>
      </top>
      <bottom style="thick">
        <color rgb="FFFF0000"/>
      </bottom>
      <diagonal/>
    </border>
    <border>
      <left style="thin">
        <color auto="1"/>
      </left>
      <right style="thin">
        <color auto="1"/>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ck">
        <color rgb="FFFF0000"/>
      </left>
      <right style="thin">
        <color auto="1"/>
      </right>
      <top style="thick">
        <color rgb="FFFF0000"/>
      </top>
      <bottom style="thin">
        <color auto="1"/>
      </bottom>
      <diagonal/>
    </border>
    <border>
      <left style="thin">
        <color auto="1"/>
      </left>
      <right style="thin">
        <color auto="1"/>
      </right>
      <top style="thick">
        <color rgb="FFFF0000"/>
      </top>
      <bottom style="thin">
        <color auto="1"/>
      </bottom>
      <diagonal/>
    </border>
    <border>
      <left/>
      <right style="thin">
        <color auto="1"/>
      </right>
      <top style="thick">
        <color auto="1"/>
      </top>
      <bottom/>
      <diagonal/>
    </border>
    <border>
      <left/>
      <right style="thick">
        <color auto="1"/>
      </right>
      <top style="thin">
        <color auto="1"/>
      </top>
      <bottom/>
      <diagonal/>
    </border>
    <border>
      <left style="thick">
        <color auto="1"/>
      </left>
      <right style="thin">
        <color theme="0"/>
      </right>
      <top style="thick">
        <color auto="1"/>
      </top>
      <bottom style="thick">
        <color auto="1"/>
      </bottom>
      <diagonal/>
    </border>
    <border>
      <left style="thin">
        <color theme="0"/>
      </left>
      <right style="thin">
        <color theme="0"/>
      </right>
      <top style="thick">
        <color auto="1"/>
      </top>
      <bottom style="thick">
        <color auto="1"/>
      </bottom>
      <diagonal/>
    </border>
    <border>
      <left style="thin">
        <color theme="0"/>
      </left>
      <right style="thick">
        <color auto="1"/>
      </right>
      <top style="thick">
        <color auto="1"/>
      </top>
      <bottom style="thick">
        <color auto="1"/>
      </bottom>
      <diagonal/>
    </border>
    <border>
      <left style="thin">
        <color theme="0"/>
      </left>
      <right style="thick">
        <color auto="1"/>
      </right>
      <top style="thin">
        <color theme="0"/>
      </top>
      <bottom style="thin">
        <color theme="0"/>
      </bottom>
      <diagonal/>
    </border>
    <border>
      <left style="thick">
        <color auto="1"/>
      </left>
      <right/>
      <top style="thick">
        <color auto="1"/>
      </top>
      <bottom style="thick">
        <color auto="1"/>
      </bottom>
      <diagonal/>
    </border>
    <border>
      <left/>
      <right/>
      <top style="thick">
        <color auto="1"/>
      </top>
      <bottom style="thick">
        <color auto="1"/>
      </bottom>
      <diagonal/>
    </border>
    <border>
      <left style="thick">
        <color auto="1"/>
      </left>
      <right style="thin">
        <color theme="0"/>
      </right>
      <top style="thin">
        <color theme="0"/>
      </top>
      <bottom style="thin">
        <color theme="0"/>
      </bottom>
      <diagonal/>
    </border>
    <border>
      <left style="thin">
        <color auto="1"/>
      </left>
      <right/>
      <top style="thick">
        <color auto="1"/>
      </top>
      <bottom/>
      <diagonal/>
    </border>
    <border>
      <left style="thick">
        <color auto="1"/>
      </left>
      <right/>
      <top style="thin">
        <color auto="1"/>
      </top>
      <bottom/>
      <diagonal/>
    </border>
    <border>
      <left style="thin">
        <color indexed="64"/>
      </left>
      <right style="thin">
        <color indexed="64"/>
      </right>
      <top style="medium">
        <color indexed="64"/>
      </top>
      <bottom style="thin">
        <color indexed="64"/>
      </bottom>
      <diagonal/>
    </border>
    <border>
      <left style="thin">
        <color theme="0"/>
      </left>
      <right style="thin">
        <color theme="0"/>
      </right>
      <top/>
      <bottom/>
      <diagonal/>
    </border>
    <border>
      <left style="thick">
        <color auto="1"/>
      </left>
      <right style="thick">
        <color auto="1"/>
      </right>
      <top style="thin">
        <color auto="1"/>
      </top>
      <bottom/>
      <diagonal/>
    </border>
    <border>
      <left style="thick">
        <color auto="1"/>
      </left>
      <right style="thin">
        <color theme="0"/>
      </right>
      <top style="thin">
        <color theme="0"/>
      </top>
      <bottom/>
      <diagonal/>
    </border>
    <border>
      <left style="thick">
        <color auto="1"/>
      </left>
      <right style="thin">
        <color theme="0"/>
      </right>
      <top/>
      <bottom/>
      <diagonal/>
    </border>
    <border>
      <left style="thick">
        <color auto="1"/>
      </left>
      <right style="thin">
        <color theme="0"/>
      </right>
      <top/>
      <bottom style="thin">
        <color theme="0"/>
      </bottom>
      <diagonal/>
    </border>
    <border>
      <left style="thick">
        <color auto="1"/>
      </left>
      <right style="thin">
        <color auto="1"/>
      </right>
      <top/>
      <bottom style="thick">
        <color auto="1"/>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medium">
        <color indexed="64"/>
      </bottom>
      <diagonal/>
    </border>
    <border>
      <left/>
      <right style="thick">
        <color indexed="64"/>
      </right>
      <top/>
      <bottom/>
      <diagonal/>
    </border>
    <border>
      <left style="thin">
        <color auto="1"/>
      </left>
      <right/>
      <top style="thick">
        <color rgb="FFFF0000"/>
      </top>
      <bottom style="thin">
        <color auto="1"/>
      </bottom>
      <diagonal/>
    </border>
    <border>
      <left style="thin">
        <color auto="1"/>
      </left>
      <right style="thick">
        <color rgb="FFFF0000"/>
      </right>
      <top/>
      <bottom style="thin">
        <color auto="1"/>
      </bottom>
      <diagonal/>
    </border>
    <border>
      <left style="thin">
        <color auto="1"/>
      </left>
      <right style="thick">
        <color auto="1"/>
      </right>
      <top/>
      <bottom style="thin">
        <color auto="1"/>
      </bottom>
      <diagonal/>
    </border>
    <border>
      <left/>
      <right style="thick">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thin">
        <color indexed="8"/>
      </left>
      <right/>
      <top style="thin">
        <color indexed="8"/>
      </top>
      <bottom/>
      <diagonal/>
    </border>
    <border>
      <left style="thin">
        <color indexed="65"/>
      </left>
      <right/>
      <top style="thin">
        <color indexed="8"/>
      </top>
      <bottom/>
      <diagonal/>
    </border>
    <border>
      <left style="thin">
        <color indexed="65"/>
      </left>
      <right style="thin">
        <color indexed="8"/>
      </right>
      <top style="thin">
        <color indexed="8"/>
      </top>
      <bottom/>
      <diagonal/>
    </border>
    <border>
      <left style="thin">
        <color indexed="8"/>
      </left>
      <right/>
      <top style="thin">
        <color indexed="65"/>
      </top>
      <bottom/>
      <diagonal/>
    </border>
    <border>
      <left style="thin">
        <color indexed="65"/>
      </left>
      <right/>
      <top style="thin">
        <color indexed="65"/>
      </top>
      <bottom/>
      <diagonal/>
    </border>
    <border>
      <left style="thin">
        <color indexed="65"/>
      </left>
      <right style="thin">
        <color indexed="8"/>
      </right>
      <top style="thin">
        <color indexed="65"/>
      </top>
      <bottom/>
      <diagonal/>
    </border>
    <border>
      <left style="thin">
        <color indexed="8"/>
      </left>
      <right/>
      <top style="thin">
        <color indexed="65"/>
      </top>
      <bottom style="thin">
        <color indexed="8"/>
      </bottom>
      <diagonal/>
    </border>
    <border>
      <left style="thin">
        <color indexed="65"/>
      </left>
      <right/>
      <top style="thin">
        <color indexed="65"/>
      </top>
      <bottom style="thin">
        <color indexed="8"/>
      </bottom>
      <diagonal/>
    </border>
    <border>
      <left style="thin">
        <color indexed="65"/>
      </left>
      <right style="thin">
        <color indexed="8"/>
      </right>
      <top style="thin">
        <color indexed="65"/>
      </top>
      <bottom style="thin">
        <color indexed="8"/>
      </bottom>
      <diagonal/>
    </border>
    <border>
      <left style="medium">
        <color rgb="FFFFFFFF"/>
      </left>
      <right style="medium">
        <color rgb="FFFFFFFF"/>
      </right>
      <top style="medium">
        <color rgb="FFFFFFFF"/>
      </top>
      <bottom style="medium">
        <color rgb="FFFFFFFF"/>
      </bottom>
      <diagonal/>
    </border>
    <border>
      <left style="medium">
        <color rgb="FFFFFFFF"/>
      </left>
      <right style="medium">
        <color rgb="FFFFFFFF"/>
      </right>
      <top/>
      <bottom style="medium">
        <color rgb="FFFFFFFF"/>
      </bottom>
      <diagonal/>
    </border>
  </borders>
  <cellStyleXfs count="6">
    <xf numFmtId="0" fontId="0" fillId="0" borderId="0"/>
    <xf numFmtId="0" fontId="12" fillId="0" borderId="0"/>
    <xf numFmtId="0" fontId="11" fillId="0" borderId="0"/>
    <xf numFmtId="0" fontId="9" fillId="0" borderId="0"/>
    <xf numFmtId="0" fontId="8" fillId="0" borderId="0"/>
    <xf numFmtId="0" fontId="54" fillId="0" borderId="0" applyNumberFormat="0" applyFill="0" applyBorder="0" applyAlignment="0" applyProtection="0"/>
  </cellStyleXfs>
  <cellXfs count="496">
    <xf numFmtId="0" fontId="0" fillId="0" borderId="0" xfId="0"/>
    <xf numFmtId="0" fontId="11" fillId="5" borderId="14" xfId="0" applyFont="1" applyFill="1" applyBorder="1" applyAlignment="1" applyProtection="1">
      <alignment horizontal="center"/>
      <protection hidden="1"/>
    </xf>
    <xf numFmtId="0" fontId="19" fillId="0" borderId="25" xfId="0" applyFont="1" applyBorder="1" applyProtection="1">
      <protection hidden="1"/>
    </xf>
    <xf numFmtId="0" fontId="19" fillId="0" borderId="34" xfId="0" applyFont="1" applyBorder="1" applyProtection="1">
      <protection hidden="1"/>
    </xf>
    <xf numFmtId="0" fontId="19" fillId="0" borderId="34" xfId="0" applyFont="1" applyBorder="1" applyAlignment="1" applyProtection="1">
      <alignment horizontal="center"/>
      <protection hidden="1"/>
    </xf>
    <xf numFmtId="0" fontId="22" fillId="0" borderId="34" xfId="0" applyFont="1" applyFill="1" applyBorder="1" applyAlignment="1" applyProtection="1">
      <alignment vertical="center"/>
      <protection hidden="1"/>
    </xf>
    <xf numFmtId="0" fontId="22" fillId="0" borderId="26" xfId="0" applyFont="1" applyFill="1" applyBorder="1" applyAlignment="1" applyProtection="1">
      <alignment vertical="center"/>
      <protection hidden="1"/>
    </xf>
    <xf numFmtId="0" fontId="24" fillId="6" borderId="63" xfId="0" applyFont="1" applyFill="1" applyBorder="1" applyAlignment="1" applyProtection="1">
      <alignment horizontal="right"/>
      <protection hidden="1"/>
    </xf>
    <xf numFmtId="0" fontId="24" fillId="6" borderId="2" xfId="0" applyFont="1" applyFill="1" applyBorder="1" applyAlignment="1" applyProtection="1">
      <alignment horizontal="left"/>
      <protection hidden="1"/>
    </xf>
    <xf numFmtId="0" fontId="24" fillId="6" borderId="2" xfId="0" applyFont="1" applyFill="1" applyBorder="1" applyProtection="1">
      <protection hidden="1"/>
    </xf>
    <xf numFmtId="0" fontId="24" fillId="6" borderId="2" xfId="0" applyFont="1" applyFill="1" applyBorder="1" applyAlignment="1" applyProtection="1">
      <alignment horizontal="center"/>
      <protection hidden="1"/>
    </xf>
    <xf numFmtId="0" fontId="24" fillId="6" borderId="64" xfId="0" applyFont="1" applyFill="1" applyBorder="1" applyProtection="1">
      <protection hidden="1"/>
    </xf>
    <xf numFmtId="0" fontId="19" fillId="0" borderId="26" xfId="0" applyFont="1" applyBorder="1" applyProtection="1">
      <protection hidden="1"/>
    </xf>
    <xf numFmtId="0" fontId="19" fillId="0" borderId="45" xfId="0" applyFont="1" applyBorder="1" applyProtection="1">
      <protection hidden="1"/>
    </xf>
    <xf numFmtId="0" fontId="24" fillId="6" borderId="65" xfId="0" applyFont="1" applyFill="1" applyBorder="1" applyAlignment="1" applyProtection="1">
      <alignment horizontal="right"/>
      <protection hidden="1"/>
    </xf>
    <xf numFmtId="0" fontId="25" fillId="6" borderId="3" xfId="0" applyFont="1" applyFill="1" applyBorder="1" applyAlignment="1" applyProtection="1">
      <alignment horizontal="left"/>
      <protection hidden="1"/>
    </xf>
    <xf numFmtId="0" fontId="24" fillId="6" borderId="3" xfId="0" applyFont="1" applyFill="1" applyBorder="1" applyAlignment="1" applyProtection="1">
      <alignment horizontal="left"/>
      <protection hidden="1"/>
    </xf>
    <xf numFmtId="0" fontId="24" fillId="6" borderId="3" xfId="0" applyFont="1" applyFill="1" applyBorder="1" applyProtection="1">
      <protection hidden="1"/>
    </xf>
    <xf numFmtId="0" fontId="24" fillId="6" borderId="3" xfId="0" applyFont="1" applyFill="1" applyBorder="1" applyAlignment="1" applyProtection="1">
      <alignment horizontal="center"/>
      <protection hidden="1"/>
    </xf>
    <xf numFmtId="0" fontId="24" fillId="6" borderId="66" xfId="0" applyFont="1" applyFill="1" applyBorder="1" applyProtection="1">
      <protection hidden="1"/>
    </xf>
    <xf numFmtId="0" fontId="24" fillId="6" borderId="67" xfId="0" applyFont="1" applyFill="1" applyBorder="1" applyProtection="1">
      <protection hidden="1"/>
    </xf>
    <xf numFmtId="0" fontId="24" fillId="6" borderId="68" xfId="0" applyFont="1" applyFill="1" applyBorder="1" applyAlignment="1" applyProtection="1">
      <alignment horizontal="right"/>
      <protection hidden="1"/>
    </xf>
    <xf numFmtId="0" fontId="24" fillId="6" borderId="68" xfId="0" applyFont="1" applyFill="1" applyBorder="1" applyAlignment="1" applyProtection="1">
      <alignment horizontal="left"/>
      <protection hidden="1"/>
    </xf>
    <xf numFmtId="0" fontId="24" fillId="6" borderId="68" xfId="0" applyFont="1" applyFill="1" applyBorder="1" applyProtection="1">
      <protection hidden="1"/>
    </xf>
    <xf numFmtId="0" fontId="24" fillId="6" borderId="68" xfId="0" applyFont="1" applyFill="1" applyBorder="1" applyAlignment="1" applyProtection="1">
      <alignment horizontal="center"/>
      <protection hidden="1"/>
    </xf>
    <xf numFmtId="0" fontId="24" fillId="6" borderId="69" xfId="0" applyFont="1" applyFill="1" applyBorder="1" applyProtection="1">
      <protection hidden="1"/>
    </xf>
    <xf numFmtId="0" fontId="19" fillId="0" borderId="33" xfId="0" applyFont="1" applyBorder="1" applyProtection="1">
      <protection hidden="1"/>
    </xf>
    <xf numFmtId="0" fontId="19" fillId="0" borderId="33" xfId="0" applyFont="1" applyBorder="1" applyAlignment="1" applyProtection="1">
      <alignment horizontal="center"/>
      <protection hidden="1"/>
    </xf>
    <xf numFmtId="0" fontId="24" fillId="6" borderId="2" xfId="0" applyFont="1" applyFill="1" applyBorder="1" applyAlignment="1" applyProtection="1">
      <alignment vertical="center"/>
      <protection hidden="1"/>
    </xf>
    <xf numFmtId="0" fontId="28" fillId="6" borderId="2" xfId="0" applyFont="1" applyFill="1" applyBorder="1" applyAlignment="1" applyProtection="1">
      <alignment vertical="center"/>
      <protection hidden="1"/>
    </xf>
    <xf numFmtId="0" fontId="29" fillId="6" borderId="2" xfId="0" applyFont="1" applyFill="1" applyBorder="1" applyAlignment="1" applyProtection="1">
      <alignment horizontal="left"/>
      <protection hidden="1"/>
    </xf>
    <xf numFmtId="0" fontId="29" fillId="6" borderId="2" xfId="0" applyFont="1" applyFill="1" applyBorder="1" applyAlignment="1" applyProtection="1">
      <alignment horizontal="right"/>
      <protection hidden="1"/>
    </xf>
    <xf numFmtId="0" fontId="29" fillId="6" borderId="2" xfId="0" applyFont="1" applyFill="1" applyBorder="1" applyAlignment="1" applyProtection="1">
      <alignment vertical="top"/>
      <protection hidden="1"/>
    </xf>
    <xf numFmtId="0" fontId="29" fillId="6" borderId="3" xfId="0" applyFont="1" applyFill="1" applyBorder="1" applyAlignment="1" applyProtection="1">
      <alignment horizontal="left"/>
      <protection hidden="1"/>
    </xf>
    <xf numFmtId="0" fontId="19" fillId="6" borderId="68" xfId="0" applyFont="1" applyFill="1" applyBorder="1" applyAlignment="1" applyProtection="1">
      <alignment horizontal="center"/>
      <protection hidden="1"/>
    </xf>
    <xf numFmtId="0" fontId="19" fillId="2" borderId="0" xfId="0" applyFont="1" applyFill="1" applyBorder="1" applyProtection="1">
      <protection hidden="1"/>
    </xf>
    <xf numFmtId="0" fontId="19" fillId="2" borderId="0" xfId="0" applyFont="1" applyFill="1" applyBorder="1" applyAlignment="1" applyProtection="1">
      <alignment horizontal="center"/>
      <protection hidden="1"/>
    </xf>
    <xf numFmtId="0" fontId="24" fillId="6" borderId="2" xfId="0" applyFont="1" applyFill="1" applyBorder="1" applyAlignment="1" applyProtection="1">
      <alignment horizontal="right"/>
      <protection hidden="1"/>
    </xf>
    <xf numFmtId="0" fontId="29" fillId="6" borderId="3" xfId="0" applyFont="1" applyFill="1" applyBorder="1" applyAlignment="1" applyProtection="1">
      <alignment horizontal="right"/>
      <protection hidden="1"/>
    </xf>
    <xf numFmtId="0" fontId="11" fillId="5" borderId="2" xfId="0" applyFont="1" applyFill="1" applyBorder="1" applyProtection="1">
      <protection hidden="1"/>
    </xf>
    <xf numFmtId="0" fontId="11" fillId="2" borderId="34" xfId="2" applyFill="1" applyBorder="1" applyProtection="1"/>
    <xf numFmtId="0" fontId="11" fillId="2" borderId="44" xfId="2" applyFill="1" applyBorder="1" applyProtection="1"/>
    <xf numFmtId="0" fontId="11" fillId="2" borderId="25" xfId="2" applyFill="1" applyBorder="1" applyProtection="1"/>
    <xf numFmtId="0" fontId="11" fillId="2" borderId="26" xfId="2" applyFill="1" applyBorder="1" applyProtection="1"/>
    <xf numFmtId="0" fontId="34" fillId="2" borderId="80" xfId="2" applyFont="1" applyFill="1" applyBorder="1" applyAlignment="1" applyProtection="1">
      <alignment horizontal="center"/>
    </xf>
    <xf numFmtId="0" fontId="19" fillId="2" borderId="34" xfId="2" applyFont="1" applyFill="1" applyBorder="1" applyAlignment="1" applyProtection="1">
      <alignment horizontal="left"/>
    </xf>
    <xf numFmtId="0" fontId="34" fillId="2" borderId="34" xfId="2" applyFont="1" applyFill="1" applyBorder="1" applyAlignment="1" applyProtection="1">
      <alignment horizontal="center"/>
    </xf>
    <xf numFmtId="0" fontId="34" fillId="2" borderId="77" xfId="2" applyFont="1" applyFill="1" applyBorder="1" applyAlignment="1" applyProtection="1">
      <alignment horizontal="center"/>
    </xf>
    <xf numFmtId="0" fontId="19" fillId="2" borderId="80" xfId="2" applyFont="1" applyFill="1" applyBorder="1" applyProtection="1"/>
    <xf numFmtId="0" fontId="19" fillId="2" borderId="34" xfId="2" applyFont="1" applyFill="1" applyBorder="1" applyProtection="1"/>
    <xf numFmtId="0" fontId="19" fillId="2" borderId="77" xfId="2" applyFont="1" applyFill="1" applyBorder="1" applyProtection="1"/>
    <xf numFmtId="0" fontId="11" fillId="2" borderId="34" xfId="2" applyFont="1" applyFill="1" applyBorder="1" applyAlignment="1" applyProtection="1">
      <alignment vertical="center"/>
    </xf>
    <xf numFmtId="0" fontId="11" fillId="2" borderId="25" xfId="2" applyFont="1" applyFill="1" applyBorder="1" applyAlignment="1" applyProtection="1">
      <alignment vertical="center"/>
    </xf>
    <xf numFmtId="0" fontId="11" fillId="2" borderId="26" xfId="2" applyFont="1" applyFill="1" applyBorder="1" applyAlignment="1" applyProtection="1">
      <alignment vertical="center"/>
    </xf>
    <xf numFmtId="0" fontId="11" fillId="2" borderId="34" xfId="2" applyFont="1" applyFill="1" applyBorder="1" applyAlignment="1" applyProtection="1"/>
    <xf numFmtId="0" fontId="11" fillId="2" borderId="25" xfId="2" applyFont="1" applyFill="1" applyBorder="1" applyAlignment="1" applyProtection="1"/>
    <xf numFmtId="0" fontId="11" fillId="2" borderId="26" xfId="2" applyFont="1" applyFill="1" applyBorder="1" applyAlignment="1" applyProtection="1"/>
    <xf numFmtId="0" fontId="11" fillId="2" borderId="25" xfId="2" applyFont="1" applyFill="1" applyBorder="1" applyProtection="1"/>
    <xf numFmtId="0" fontId="11" fillId="2" borderId="34" xfId="2" applyFont="1" applyFill="1" applyBorder="1" applyAlignment="1" applyProtection="1">
      <alignment horizontal="right"/>
    </xf>
    <xf numFmtId="0" fontId="19" fillId="2" borderId="80" xfId="2" applyFont="1" applyFill="1" applyBorder="1" applyAlignment="1" applyProtection="1">
      <alignment horizontal="right"/>
    </xf>
    <xf numFmtId="0" fontId="10" fillId="2" borderId="25" xfId="2" applyFont="1" applyFill="1" applyBorder="1" applyAlignment="1" applyProtection="1">
      <alignment horizontal="right"/>
    </xf>
    <xf numFmtId="0" fontId="19" fillId="2" borderId="74" xfId="2" applyFont="1" applyFill="1" applyBorder="1" applyAlignment="1" applyProtection="1">
      <alignment horizontal="right"/>
    </xf>
    <xf numFmtId="0" fontId="19" fillId="2" borderId="75" xfId="2" applyFont="1" applyFill="1" applyBorder="1" applyProtection="1"/>
    <xf numFmtId="0" fontId="19" fillId="2" borderId="76" xfId="2" applyFont="1" applyFill="1" applyBorder="1" applyProtection="1"/>
    <xf numFmtId="0" fontId="10" fillId="2" borderId="34" xfId="2" applyFont="1" applyFill="1" applyBorder="1" applyProtection="1"/>
    <xf numFmtId="0" fontId="16" fillId="2" borderId="33" xfId="2" applyFont="1" applyFill="1" applyBorder="1" applyProtection="1"/>
    <xf numFmtId="0" fontId="19" fillId="2" borderId="33" xfId="2" applyFont="1" applyFill="1" applyBorder="1" applyProtection="1"/>
    <xf numFmtId="0" fontId="11" fillId="2" borderId="34" xfId="2" applyFont="1" applyFill="1" applyBorder="1" applyProtection="1"/>
    <xf numFmtId="0" fontId="10" fillId="2" borderId="25" xfId="2" applyFont="1" applyFill="1" applyBorder="1" applyAlignment="1" applyProtection="1">
      <alignment horizontal="left"/>
    </xf>
    <xf numFmtId="0" fontId="11" fillId="2" borderId="25" xfId="2" applyFont="1" applyFill="1" applyBorder="1" applyAlignment="1" applyProtection="1">
      <alignment horizontal="right"/>
    </xf>
    <xf numFmtId="0" fontId="11" fillId="2" borderId="25" xfId="2" applyFont="1" applyFill="1" applyBorder="1" applyAlignment="1" applyProtection="1">
      <alignment horizontal="left"/>
    </xf>
    <xf numFmtId="0" fontId="11" fillId="2" borderId="33" xfId="2" applyFill="1" applyBorder="1" applyProtection="1"/>
    <xf numFmtId="0" fontId="19" fillId="0" borderId="0" xfId="0" applyFont="1" applyBorder="1" applyProtection="1">
      <protection hidden="1"/>
    </xf>
    <xf numFmtId="0" fontId="40" fillId="2" borderId="0" xfId="0" applyFont="1" applyFill="1"/>
    <xf numFmtId="0" fontId="19" fillId="0" borderId="0" xfId="0" applyFont="1" applyBorder="1" applyAlignment="1" applyProtection="1">
      <alignment horizontal="center"/>
      <protection hidden="1"/>
    </xf>
    <xf numFmtId="0" fontId="15" fillId="6" borderId="7" xfId="0" applyFont="1" applyFill="1" applyBorder="1" applyAlignment="1" applyProtection="1">
      <alignment horizontal="center" wrapText="1"/>
      <protection hidden="1"/>
    </xf>
    <xf numFmtId="0" fontId="10" fillId="7" borderId="7" xfId="0" applyFont="1" applyFill="1" applyBorder="1" applyAlignment="1" applyProtection="1">
      <alignment horizontal="center" wrapText="1"/>
      <protection hidden="1"/>
    </xf>
    <xf numFmtId="0" fontId="8" fillId="0" borderId="0" xfId="4"/>
    <xf numFmtId="0" fontId="42" fillId="0" borderId="0" xfId="4" applyFont="1"/>
    <xf numFmtId="0" fontId="8" fillId="0" borderId="0" xfId="4" applyAlignment="1">
      <alignment wrapText="1"/>
    </xf>
    <xf numFmtId="0" fontId="43" fillId="0" borderId="0" xfId="4" applyFont="1"/>
    <xf numFmtId="0" fontId="8" fillId="9" borderId="0" xfId="4" applyFill="1"/>
    <xf numFmtId="176" fontId="42" fillId="0" borderId="0" xfId="4" applyNumberFormat="1" applyFont="1"/>
    <xf numFmtId="0" fontId="8" fillId="10" borderId="0" xfId="4" applyFill="1"/>
    <xf numFmtId="0" fontId="8" fillId="0" borderId="2" xfId="4" applyBorder="1"/>
    <xf numFmtId="0" fontId="8" fillId="11" borderId="2" xfId="4" applyFill="1" applyBorder="1"/>
    <xf numFmtId="0" fontId="8" fillId="10" borderId="2" xfId="4" applyFill="1" applyBorder="1"/>
    <xf numFmtId="0" fontId="41" fillId="11" borderId="0" xfId="4" applyFont="1" applyFill="1"/>
    <xf numFmtId="0" fontId="8" fillId="9" borderId="2" xfId="4" applyFill="1" applyBorder="1"/>
    <xf numFmtId="0" fontId="8" fillId="0" borderId="0" xfId="4" quotePrefix="1"/>
    <xf numFmtId="2" fontId="8" fillId="0" borderId="0" xfId="4" applyNumberFormat="1"/>
    <xf numFmtId="0" fontId="8" fillId="0" borderId="0" xfId="4" applyFill="1"/>
    <xf numFmtId="0" fontId="7" fillId="9" borderId="0" xfId="4" applyFont="1" applyFill="1"/>
    <xf numFmtId="0" fontId="7" fillId="0" borderId="0" xfId="4" applyFont="1"/>
    <xf numFmtId="0" fontId="7" fillId="0" borderId="0" xfId="4" applyFont="1" applyAlignment="1">
      <alignment horizontal="center"/>
    </xf>
    <xf numFmtId="0" fontId="8" fillId="0" borderId="0" xfId="4" applyAlignment="1">
      <alignment horizontal="center"/>
    </xf>
    <xf numFmtId="0" fontId="7" fillId="9" borderId="2" xfId="4" applyFont="1" applyFill="1" applyBorder="1"/>
    <xf numFmtId="0" fontId="6" fillId="0" borderId="0" xfId="4" applyFont="1"/>
    <xf numFmtId="0" fontId="6" fillId="0" borderId="0" xfId="4" applyFont="1" applyAlignment="1">
      <alignment horizontal="centerContinuous"/>
    </xf>
    <xf numFmtId="0" fontId="8" fillId="0" borderId="0" xfId="4" applyAlignment="1">
      <alignment horizontal="centerContinuous"/>
    </xf>
    <xf numFmtId="0" fontId="6" fillId="0" borderId="0" xfId="4" applyFont="1" applyAlignment="1">
      <alignment horizontal="left"/>
    </xf>
    <xf numFmtId="0" fontId="6" fillId="0" borderId="0" xfId="4" applyFont="1" applyAlignment="1">
      <alignment horizontal="center"/>
    </xf>
    <xf numFmtId="0" fontId="6" fillId="0" borderId="0" xfId="4" applyFont="1" applyAlignment="1">
      <alignment horizontal="centerContinuous" wrapText="1"/>
    </xf>
    <xf numFmtId="0" fontId="5" fillId="0" borderId="0" xfId="4" applyFont="1"/>
    <xf numFmtId="0" fontId="47" fillId="2" borderId="2" xfId="0" applyFont="1" applyFill="1" applyBorder="1" applyAlignment="1">
      <alignment horizontal="center"/>
    </xf>
    <xf numFmtId="0" fontId="48" fillId="2" borderId="2" xfId="0" applyFont="1" applyFill="1" applyBorder="1"/>
    <xf numFmtId="0" fontId="48" fillId="2" borderId="0" xfId="0" applyFont="1" applyFill="1"/>
    <xf numFmtId="0" fontId="47" fillId="2" borderId="39" xfId="0" applyFont="1" applyFill="1" applyBorder="1" applyAlignment="1">
      <alignment horizontal="center"/>
    </xf>
    <xf numFmtId="0" fontId="48" fillId="2" borderId="39" xfId="0" applyFont="1" applyFill="1" applyBorder="1"/>
    <xf numFmtId="0" fontId="47" fillId="2" borderId="53" xfId="0" applyFont="1" applyFill="1" applyBorder="1" applyAlignment="1">
      <alignment horizontal="centerContinuous"/>
    </xf>
    <xf numFmtId="0" fontId="47" fillId="2" borderId="83" xfId="0" applyFont="1" applyFill="1" applyBorder="1" applyAlignment="1">
      <alignment horizontal="centerContinuous"/>
    </xf>
    <xf numFmtId="0" fontId="47" fillId="2" borderId="95" xfId="0" applyFont="1" applyFill="1" applyBorder="1" applyAlignment="1">
      <alignment horizontal="centerContinuous"/>
    </xf>
    <xf numFmtId="0" fontId="47" fillId="2" borderId="6" xfId="0" applyFont="1" applyFill="1" applyBorder="1" applyAlignment="1">
      <alignment horizontal="center"/>
    </xf>
    <xf numFmtId="0" fontId="47" fillId="2" borderId="7" xfId="0" applyFont="1" applyFill="1" applyBorder="1" applyAlignment="1">
      <alignment horizontal="center"/>
    </xf>
    <xf numFmtId="0" fontId="48" fillId="2" borderId="6" xfId="0" applyFont="1" applyFill="1" applyBorder="1"/>
    <xf numFmtId="0" fontId="48" fillId="2" borderId="7" xfId="0" applyFont="1" applyFill="1" applyBorder="1"/>
    <xf numFmtId="0" fontId="48" fillId="2" borderId="5" xfId="0" applyFont="1" applyFill="1" applyBorder="1"/>
    <xf numFmtId="0" fontId="48" fillId="2" borderId="95" xfId="0" applyFont="1" applyFill="1" applyBorder="1" applyAlignment="1">
      <alignment horizontal="centerContinuous"/>
    </xf>
    <xf numFmtId="0" fontId="47" fillId="2" borderId="98" xfId="0" applyFont="1" applyFill="1" applyBorder="1" applyAlignment="1">
      <alignment horizontal="centerContinuous"/>
    </xf>
    <xf numFmtId="0" fontId="48" fillId="2" borderId="53" xfId="0" applyFont="1" applyFill="1" applyBorder="1"/>
    <xf numFmtId="0" fontId="48" fillId="2" borderId="83" xfId="0" applyFont="1" applyFill="1" applyBorder="1"/>
    <xf numFmtId="0" fontId="48" fillId="2" borderId="99" xfId="0" applyFont="1" applyFill="1" applyBorder="1"/>
    <xf numFmtId="0" fontId="47" fillId="2" borderId="14" xfId="0" applyFont="1" applyFill="1" applyBorder="1" applyAlignment="1">
      <alignment horizontal="center"/>
    </xf>
    <xf numFmtId="0" fontId="48" fillId="2" borderId="6" xfId="0" applyFont="1" applyFill="1" applyBorder="1" applyAlignment="1">
      <alignment horizontal="center"/>
    </xf>
    <xf numFmtId="0" fontId="48" fillId="2" borderId="2" xfId="0" applyFont="1" applyFill="1" applyBorder="1" applyAlignment="1">
      <alignment horizontal="center"/>
    </xf>
    <xf numFmtId="0" fontId="48" fillId="2" borderId="14" xfId="0" applyFont="1" applyFill="1" applyBorder="1" applyAlignment="1">
      <alignment horizontal="center"/>
    </xf>
    <xf numFmtId="0" fontId="48" fillId="2" borderId="96" xfId="0" applyFont="1" applyFill="1" applyBorder="1" applyAlignment="1">
      <alignment horizontal="center"/>
    </xf>
    <xf numFmtId="0" fontId="48" fillId="2" borderId="97" xfId="0" applyFont="1" applyFill="1" applyBorder="1" applyAlignment="1">
      <alignment horizontal="center"/>
    </xf>
    <xf numFmtId="0" fontId="48" fillId="2" borderId="100" xfId="0" applyFont="1" applyFill="1" applyBorder="1" applyAlignment="1">
      <alignment horizontal="center"/>
    </xf>
    <xf numFmtId="0" fontId="4" fillId="0" borderId="0" xfId="4" applyFont="1"/>
    <xf numFmtId="0" fontId="4" fillId="0" borderId="0" xfId="4" applyFont="1" applyAlignment="1">
      <alignment horizontal="center"/>
    </xf>
    <xf numFmtId="0" fontId="49" fillId="0" borderId="0" xfId="4" applyFont="1"/>
    <xf numFmtId="0" fontId="0" fillId="2" borderId="0" xfId="0" applyFill="1" applyProtection="1">
      <protection hidden="1"/>
    </xf>
    <xf numFmtId="0" fontId="0" fillId="0" borderId="22" xfId="0" applyFill="1" applyBorder="1" applyProtection="1">
      <protection hidden="1"/>
    </xf>
    <xf numFmtId="0" fontId="0" fillId="0" borderId="44" xfId="0" applyFill="1" applyBorder="1" applyProtection="1">
      <protection hidden="1"/>
    </xf>
    <xf numFmtId="0" fontId="15" fillId="6" borderId="83" xfId="0" applyFont="1" applyFill="1" applyBorder="1" applyAlignment="1" applyProtection="1">
      <alignment horizontal="center"/>
      <protection hidden="1"/>
    </xf>
    <xf numFmtId="0" fontId="15" fillId="6" borderId="92" xfId="0" applyFont="1" applyFill="1" applyBorder="1" applyAlignment="1" applyProtection="1">
      <alignment horizontal="center"/>
      <protection hidden="1"/>
    </xf>
    <xf numFmtId="0" fontId="15" fillId="6" borderId="2" xfId="0" applyFont="1" applyFill="1" applyBorder="1" applyAlignment="1" applyProtection="1">
      <alignment horizontal="center"/>
      <protection hidden="1"/>
    </xf>
    <xf numFmtId="0" fontId="15" fillId="6" borderId="2" xfId="0" applyFont="1" applyFill="1" applyBorder="1" applyAlignment="1" applyProtection="1">
      <alignment horizontal="center" wrapText="1"/>
      <protection hidden="1"/>
    </xf>
    <xf numFmtId="0" fontId="11" fillId="5" borderId="6" xfId="0" applyFont="1" applyFill="1" applyBorder="1" applyAlignment="1" applyProtection="1">
      <alignment horizontal="left" vertical="center"/>
      <protection hidden="1"/>
    </xf>
    <xf numFmtId="0" fontId="11" fillId="5" borderId="2" xfId="0" applyFont="1" applyFill="1" applyBorder="1" applyAlignment="1" applyProtection="1">
      <alignment horizontal="left" vertical="center"/>
      <protection hidden="1"/>
    </xf>
    <xf numFmtId="0" fontId="11" fillId="5" borderId="2" xfId="0" applyFont="1" applyFill="1" applyBorder="1" applyAlignment="1" applyProtection="1">
      <alignment horizontal="center" vertical="center"/>
      <protection hidden="1"/>
    </xf>
    <xf numFmtId="0" fontId="0" fillId="5" borderId="73" xfId="0" applyFill="1" applyBorder="1" applyProtection="1">
      <protection hidden="1"/>
    </xf>
    <xf numFmtId="0" fontId="0" fillId="5" borderId="101" xfId="0" applyFill="1" applyBorder="1" applyProtection="1">
      <protection hidden="1"/>
    </xf>
    <xf numFmtId="0" fontId="11" fillId="5" borderId="6" xfId="0" applyFont="1" applyFill="1" applyBorder="1" applyProtection="1">
      <protection hidden="1"/>
    </xf>
    <xf numFmtId="0" fontId="11" fillId="0" borderId="2" xfId="0" applyFont="1" applyFill="1" applyBorder="1" applyAlignment="1" applyProtection="1">
      <alignment horizontal="center"/>
      <protection hidden="1"/>
    </xf>
    <xf numFmtId="0" fontId="11" fillId="5" borderId="101" xfId="0" applyFont="1" applyFill="1" applyBorder="1" applyProtection="1">
      <protection hidden="1"/>
    </xf>
    <xf numFmtId="2" fontId="11" fillId="0" borderId="2" xfId="0" applyNumberFormat="1" applyFont="1" applyFill="1" applyBorder="1" applyAlignment="1" applyProtection="1">
      <alignment horizontal="center" vertical="center"/>
      <protection hidden="1"/>
    </xf>
    <xf numFmtId="2" fontId="11" fillId="5" borderId="2" xfId="0" applyNumberFormat="1" applyFont="1" applyFill="1" applyBorder="1" applyAlignment="1" applyProtection="1">
      <alignment horizontal="center" vertical="center"/>
      <protection hidden="1"/>
    </xf>
    <xf numFmtId="0" fontId="0" fillId="5" borderId="2" xfId="0" applyFill="1" applyBorder="1" applyProtection="1">
      <protection hidden="1"/>
    </xf>
    <xf numFmtId="0" fontId="0" fillId="2" borderId="5" xfId="0" applyFill="1" applyBorder="1" applyProtection="1">
      <protection hidden="1"/>
    </xf>
    <xf numFmtId="0" fontId="11" fillId="5" borderId="93" xfId="0" applyFont="1" applyFill="1" applyBorder="1" applyProtection="1">
      <protection hidden="1"/>
    </xf>
    <xf numFmtId="0" fontId="11" fillId="5" borderId="4" xfId="0" applyFont="1" applyFill="1" applyBorder="1" applyProtection="1">
      <protection hidden="1"/>
    </xf>
    <xf numFmtId="0" fontId="11" fillId="5" borderId="4" xfId="0" applyFont="1" applyFill="1" applyBorder="1" applyAlignment="1" applyProtection="1">
      <alignment horizontal="center" vertical="center"/>
      <protection hidden="1"/>
    </xf>
    <xf numFmtId="0" fontId="0" fillId="5" borderId="6" xfId="0" applyFill="1" applyBorder="1" applyProtection="1">
      <protection hidden="1"/>
    </xf>
    <xf numFmtId="0" fontId="0" fillId="2" borderId="7" xfId="0" applyFill="1" applyBorder="1" applyProtection="1">
      <protection hidden="1"/>
    </xf>
    <xf numFmtId="0" fontId="11" fillId="13" borderId="6" xfId="0" applyFont="1" applyFill="1" applyBorder="1" applyProtection="1">
      <protection hidden="1"/>
    </xf>
    <xf numFmtId="0" fontId="11" fillId="13" borderId="2" xfId="0" applyFont="1" applyFill="1" applyBorder="1" applyProtection="1">
      <protection hidden="1"/>
    </xf>
    <xf numFmtId="0" fontId="11" fillId="13" borderId="2" xfId="0" applyFont="1" applyFill="1" applyBorder="1" applyAlignment="1" applyProtection="1">
      <alignment horizontal="center" vertical="center"/>
      <protection hidden="1"/>
    </xf>
    <xf numFmtId="0" fontId="0" fillId="13" borderId="6" xfId="0" applyFill="1" applyBorder="1" applyProtection="1">
      <protection hidden="1"/>
    </xf>
    <xf numFmtId="0" fontId="0" fillId="13" borderId="2" xfId="0" applyFill="1" applyBorder="1" applyProtection="1">
      <protection hidden="1"/>
    </xf>
    <xf numFmtId="0" fontId="0" fillId="13" borderId="2" xfId="0" applyFill="1" applyBorder="1" applyAlignment="1" applyProtection="1">
      <alignment horizontal="center"/>
      <protection hidden="1"/>
    </xf>
    <xf numFmtId="0" fontId="11" fillId="2" borderId="0" xfId="0" applyFont="1" applyFill="1" applyProtection="1">
      <protection hidden="1"/>
    </xf>
    <xf numFmtId="0" fontId="11" fillId="2" borderId="0" xfId="0" applyFont="1" applyFill="1" applyAlignment="1" applyProtection="1">
      <alignment horizontal="right"/>
      <protection hidden="1"/>
    </xf>
    <xf numFmtId="0" fontId="11" fillId="2" borderId="0" xfId="0" applyFont="1" applyFill="1" applyAlignment="1" applyProtection="1">
      <alignment horizontal="center"/>
      <protection hidden="1"/>
    </xf>
    <xf numFmtId="0" fontId="0" fillId="2" borderId="0" xfId="0" applyFill="1" applyAlignment="1" applyProtection="1">
      <alignment horizontal="right"/>
      <protection hidden="1"/>
    </xf>
    <xf numFmtId="0" fontId="0" fillId="2" borderId="0" xfId="0" applyFill="1" applyAlignment="1" applyProtection="1">
      <alignment horizontal="center"/>
      <protection hidden="1"/>
    </xf>
    <xf numFmtId="2" fontId="0" fillId="2" borderId="0" xfId="0" applyNumberFormat="1" applyFill="1" applyProtection="1">
      <protection hidden="1"/>
    </xf>
    <xf numFmtId="0" fontId="11" fillId="8" borderId="2" xfId="0" applyFont="1" applyFill="1" applyBorder="1" applyAlignment="1" applyProtection="1">
      <alignment horizontal="center"/>
      <protection locked="0" hidden="1"/>
    </xf>
    <xf numFmtId="0" fontId="0" fillId="8" borderId="2" xfId="0" applyFill="1" applyBorder="1" applyAlignment="1" applyProtection="1">
      <alignment horizontal="center"/>
      <protection locked="0" hidden="1"/>
    </xf>
    <xf numFmtId="0" fontId="11" fillId="8" borderId="4" xfId="0" applyFont="1" applyFill="1" applyBorder="1" applyAlignment="1" applyProtection="1">
      <alignment horizontal="center"/>
      <protection locked="0" hidden="1"/>
    </xf>
    <xf numFmtId="0" fontId="0" fillId="0" borderId="25" xfId="0" applyBorder="1" applyProtection="1">
      <protection hidden="1"/>
    </xf>
    <xf numFmtId="0" fontId="0" fillId="0" borderId="0" xfId="0" applyProtection="1">
      <protection hidden="1"/>
    </xf>
    <xf numFmtId="0" fontId="15" fillId="6" borderId="18" xfId="0" applyFont="1" applyFill="1" applyBorder="1" applyAlignment="1" applyProtection="1">
      <alignment horizontal="center"/>
      <protection hidden="1"/>
    </xf>
    <xf numFmtId="0" fontId="15" fillId="6" borderId="19" xfId="0" applyFont="1" applyFill="1" applyBorder="1" applyAlignment="1" applyProtection="1">
      <alignment horizontal="center"/>
      <protection hidden="1"/>
    </xf>
    <xf numFmtId="0" fontId="0" fillId="0" borderId="26" xfId="0" applyBorder="1" applyProtection="1">
      <protection hidden="1"/>
    </xf>
    <xf numFmtId="0" fontId="11" fillId="5" borderId="36" xfId="0" applyFont="1" applyFill="1" applyBorder="1" applyProtection="1">
      <protection hidden="1"/>
    </xf>
    <xf numFmtId="0" fontId="11" fillId="5" borderId="28" xfId="0" applyFont="1" applyFill="1" applyBorder="1" applyAlignment="1" applyProtection="1">
      <alignment horizontal="center"/>
      <protection hidden="1"/>
    </xf>
    <xf numFmtId="0" fontId="11" fillId="5" borderId="14" xfId="0" quotePrefix="1" applyFont="1" applyFill="1" applyBorder="1" applyAlignment="1" applyProtection="1">
      <alignment horizontal="center"/>
      <protection hidden="1"/>
    </xf>
    <xf numFmtId="0" fontId="11" fillId="5" borderId="16" xfId="0" quotePrefix="1" applyFont="1" applyFill="1" applyBorder="1" applyAlignment="1" applyProtection="1">
      <alignment horizontal="center"/>
      <protection hidden="1"/>
    </xf>
    <xf numFmtId="0" fontId="0" fillId="5" borderId="38" xfId="0" applyFill="1" applyBorder="1" applyAlignment="1" applyProtection="1">
      <alignment horizontal="center"/>
      <protection hidden="1"/>
    </xf>
    <xf numFmtId="0" fontId="11" fillId="5" borderId="46" xfId="0" quotePrefix="1" applyFont="1" applyFill="1" applyBorder="1" applyAlignment="1" applyProtection="1">
      <alignment horizontal="center"/>
      <protection hidden="1"/>
    </xf>
    <xf numFmtId="0" fontId="0" fillId="5" borderId="27" xfId="0" applyFill="1" applyBorder="1" applyAlignment="1" applyProtection="1">
      <alignment horizontal="center"/>
      <protection hidden="1"/>
    </xf>
    <xf numFmtId="0" fontId="11" fillId="5" borderId="28" xfId="0" quotePrefix="1" applyFont="1" applyFill="1" applyBorder="1" applyAlignment="1" applyProtection="1">
      <alignment horizontal="center"/>
      <protection hidden="1"/>
    </xf>
    <xf numFmtId="0" fontId="15" fillId="6" borderId="81" xfId="0" applyFont="1" applyFill="1" applyBorder="1" applyAlignment="1" applyProtection="1">
      <alignment horizontal="center"/>
      <protection hidden="1"/>
    </xf>
    <xf numFmtId="0" fontId="15" fillId="6" borderId="29" xfId="0" applyFont="1" applyFill="1" applyBorder="1" applyAlignment="1" applyProtection="1">
      <alignment horizontal="center"/>
      <protection hidden="1"/>
    </xf>
    <xf numFmtId="0" fontId="11" fillId="5" borderId="28" xfId="0" applyFont="1" applyFill="1" applyBorder="1" applyProtection="1">
      <protection hidden="1"/>
    </xf>
    <xf numFmtId="0" fontId="0" fillId="8" borderId="27" xfId="0" applyFill="1" applyBorder="1" applyAlignment="1" applyProtection="1">
      <alignment horizontal="center"/>
      <protection hidden="1"/>
    </xf>
    <xf numFmtId="0" fontId="0" fillId="0" borderId="36" xfId="0" applyFill="1" applyBorder="1" applyAlignment="1" applyProtection="1">
      <alignment horizontal="center"/>
      <protection hidden="1"/>
    </xf>
    <xf numFmtId="0" fontId="11" fillId="7" borderId="30" xfId="0" applyFont="1" applyFill="1" applyBorder="1" applyAlignment="1" applyProtection="1">
      <alignment horizontal="center"/>
      <protection hidden="1"/>
    </xf>
    <xf numFmtId="0" fontId="11" fillId="5" borderId="14" xfId="0" applyFont="1" applyFill="1" applyBorder="1" applyProtection="1">
      <protection hidden="1"/>
    </xf>
    <xf numFmtId="0" fontId="0" fillId="8" borderId="13" xfId="0" applyFill="1" applyBorder="1" applyAlignment="1" applyProtection="1">
      <alignment horizontal="center"/>
      <protection hidden="1"/>
    </xf>
    <xf numFmtId="0" fontId="0" fillId="0" borderId="2" xfId="0" applyFill="1" applyBorder="1" applyAlignment="1" applyProtection="1">
      <alignment horizontal="center"/>
      <protection hidden="1"/>
    </xf>
    <xf numFmtId="0" fontId="0" fillId="7" borderId="31" xfId="0" applyFill="1" applyBorder="1" applyAlignment="1" applyProtection="1">
      <alignment horizontal="center"/>
      <protection hidden="1"/>
    </xf>
    <xf numFmtId="0" fontId="11" fillId="5" borderId="16" xfId="0" applyFont="1" applyFill="1" applyBorder="1" applyProtection="1">
      <protection hidden="1"/>
    </xf>
    <xf numFmtId="0" fontId="0" fillId="8" borderId="15" xfId="0" applyFill="1" applyBorder="1" applyAlignment="1" applyProtection="1">
      <alignment horizontal="center"/>
      <protection hidden="1"/>
    </xf>
    <xf numFmtId="0" fontId="0" fillId="0" borderId="37" xfId="0" applyFill="1" applyBorder="1" applyAlignment="1" applyProtection="1">
      <alignment horizontal="center"/>
      <protection hidden="1"/>
    </xf>
    <xf numFmtId="0" fontId="11" fillId="5" borderId="16" xfId="0" applyFont="1" applyFill="1" applyBorder="1" applyAlignment="1" applyProtection="1">
      <alignment horizontal="center"/>
      <protection hidden="1"/>
    </xf>
    <xf numFmtId="0" fontId="11" fillId="7" borderId="32" xfId="0" applyFont="1" applyFill="1" applyBorder="1" applyAlignment="1" applyProtection="1">
      <alignment horizontal="center"/>
      <protection hidden="1"/>
    </xf>
    <xf numFmtId="0" fontId="17" fillId="0" borderId="33" xfId="0" applyFont="1" applyBorder="1" applyProtection="1">
      <protection hidden="1"/>
    </xf>
    <xf numFmtId="0" fontId="0" fillId="0" borderId="33" xfId="0" applyBorder="1" applyProtection="1">
      <protection hidden="1"/>
    </xf>
    <xf numFmtId="0" fontId="0" fillId="0" borderId="0" xfId="0" applyBorder="1" applyProtection="1">
      <protection hidden="1"/>
    </xf>
    <xf numFmtId="0" fontId="17" fillId="0" borderId="0" xfId="0" applyFont="1" applyBorder="1" applyProtection="1">
      <protection hidden="1"/>
    </xf>
    <xf numFmtId="0" fontId="15" fillId="6" borderId="17" xfId="0" applyFont="1" applyFill="1" applyBorder="1" applyAlignment="1" applyProtection="1">
      <alignment horizontal="center"/>
      <protection hidden="1"/>
    </xf>
    <xf numFmtId="0" fontId="15" fillId="6" borderId="40" xfId="0" applyFont="1" applyFill="1" applyBorder="1" applyAlignment="1" applyProtection="1">
      <alignment horizontal="center"/>
      <protection hidden="1"/>
    </xf>
    <xf numFmtId="0" fontId="0" fillId="7" borderId="35" xfId="0" applyFill="1" applyBorder="1" applyAlignment="1" applyProtection="1">
      <alignment horizontal="center"/>
      <protection hidden="1"/>
    </xf>
    <xf numFmtId="0" fontId="11" fillId="5" borderId="46" xfId="0" applyFont="1" applyFill="1" applyBorder="1" applyProtection="1">
      <protection hidden="1"/>
    </xf>
    <xf numFmtId="0" fontId="0" fillId="7" borderId="85" xfId="0" applyFill="1" applyBorder="1" applyAlignment="1" applyProtection="1">
      <alignment horizontal="center"/>
      <protection hidden="1"/>
    </xf>
    <xf numFmtId="0" fontId="0" fillId="5" borderId="13" xfId="0" applyFill="1" applyBorder="1" applyAlignment="1" applyProtection="1">
      <alignment horizontal="center"/>
      <protection hidden="1"/>
    </xf>
    <xf numFmtId="0" fontId="0" fillId="8" borderId="38" xfId="0" applyFill="1" applyBorder="1" applyAlignment="1" applyProtection="1">
      <alignment horizontal="center"/>
      <protection hidden="1"/>
    </xf>
    <xf numFmtId="0" fontId="11" fillId="7" borderId="85" xfId="0" applyFont="1" applyFill="1" applyBorder="1" applyAlignment="1" applyProtection="1">
      <alignment horizontal="center"/>
      <protection hidden="1"/>
    </xf>
    <xf numFmtId="0" fontId="0" fillId="5" borderId="89" xfId="0" applyFill="1" applyBorder="1" applyAlignment="1" applyProtection="1">
      <alignment horizontal="center"/>
      <protection hidden="1"/>
    </xf>
    <xf numFmtId="0" fontId="0" fillId="2" borderId="20" xfId="0" applyFill="1" applyBorder="1" applyProtection="1">
      <protection hidden="1"/>
    </xf>
    <xf numFmtId="0" fontId="0" fillId="2" borderId="84" xfId="0" applyFill="1" applyBorder="1" applyProtection="1">
      <protection hidden="1"/>
    </xf>
    <xf numFmtId="0" fontId="0" fillId="2" borderId="23" xfId="0" applyFill="1" applyBorder="1" applyProtection="1">
      <protection hidden="1"/>
    </xf>
    <xf numFmtId="0" fontId="17" fillId="2" borderId="0" xfId="0" applyFont="1" applyFill="1" applyBorder="1" applyProtection="1">
      <protection hidden="1"/>
    </xf>
    <xf numFmtId="0" fontId="0" fillId="2" borderId="0" xfId="0" applyFill="1" applyBorder="1" applyProtection="1">
      <protection hidden="1"/>
    </xf>
    <xf numFmtId="0" fontId="0" fillId="2" borderId="24" xfId="0" applyFill="1" applyBorder="1" applyProtection="1">
      <protection hidden="1"/>
    </xf>
    <xf numFmtId="0" fontId="0" fillId="0" borderId="34" xfId="0" applyBorder="1" applyProtection="1">
      <protection hidden="1"/>
    </xf>
    <xf numFmtId="0" fontId="11" fillId="7" borderId="35" xfId="0" applyFont="1" applyFill="1" applyBorder="1" applyAlignment="1" applyProtection="1">
      <alignment horizontal="center"/>
      <protection hidden="1"/>
    </xf>
    <xf numFmtId="0" fontId="11" fillId="7" borderId="31" xfId="0" applyFont="1" applyFill="1" applyBorder="1" applyAlignment="1" applyProtection="1">
      <alignment horizontal="center"/>
      <protection hidden="1"/>
    </xf>
    <xf numFmtId="0" fontId="10" fillId="2" borderId="0" xfId="0" applyFont="1" applyFill="1" applyProtection="1">
      <protection hidden="1"/>
    </xf>
    <xf numFmtId="0" fontId="11" fillId="2" borderId="0" xfId="0" applyFont="1" applyFill="1" applyBorder="1" applyAlignment="1" applyProtection="1">
      <alignment horizontal="center"/>
      <protection hidden="1"/>
    </xf>
    <xf numFmtId="0" fontId="11" fillId="8" borderId="36" xfId="0" applyFont="1" applyFill="1" applyBorder="1" applyAlignment="1" applyProtection="1">
      <alignment horizontal="center"/>
      <protection locked="0" hidden="1"/>
    </xf>
    <xf numFmtId="0" fontId="0" fillId="8" borderId="36" xfId="0" applyFill="1" applyBorder="1" applyAlignment="1" applyProtection="1">
      <alignment horizontal="center"/>
      <protection locked="0" hidden="1"/>
    </xf>
    <xf numFmtId="0" fontId="0" fillId="8" borderId="27" xfId="0" applyFill="1" applyBorder="1" applyAlignment="1" applyProtection="1">
      <alignment horizontal="center"/>
      <protection locked="0" hidden="1"/>
    </xf>
    <xf numFmtId="0" fontId="0" fillId="8" borderId="13" xfId="0" applyFill="1" applyBorder="1" applyAlignment="1" applyProtection="1">
      <alignment horizontal="center"/>
      <protection locked="0" hidden="1"/>
    </xf>
    <xf numFmtId="0" fontId="0" fillId="8" borderId="15" xfId="0" applyFill="1" applyBorder="1" applyAlignment="1" applyProtection="1">
      <alignment horizontal="center"/>
      <protection locked="0" hidden="1"/>
    </xf>
    <xf numFmtId="0" fontId="0" fillId="0" borderId="0" xfId="0" applyAlignment="1" applyProtection="1">
      <alignment horizontal="center" wrapText="1"/>
      <protection hidden="1"/>
    </xf>
    <xf numFmtId="0" fontId="11" fillId="0" borderId="0" xfId="0" applyFont="1" applyProtection="1">
      <protection hidden="1"/>
    </xf>
    <xf numFmtId="0" fontId="0" fillId="0" borderId="0" xfId="0" applyAlignment="1" applyProtection="1">
      <alignment horizontal="center"/>
      <protection hidden="1"/>
    </xf>
    <xf numFmtId="0" fontId="11" fillId="0" borderId="0" xfId="0" applyFont="1" applyAlignment="1" applyProtection="1">
      <alignment horizontal="center"/>
      <protection hidden="1"/>
    </xf>
    <xf numFmtId="0" fontId="0" fillId="0" borderId="0" xfId="0" applyAlignment="1" applyProtection="1">
      <alignment horizontal="centerContinuous"/>
      <protection hidden="1"/>
    </xf>
    <xf numFmtId="0" fontId="11" fillId="0" borderId="0" xfId="0" applyFont="1" applyAlignment="1" applyProtection="1">
      <alignment horizontal="centerContinuous"/>
      <protection hidden="1"/>
    </xf>
    <xf numFmtId="0" fontId="0" fillId="0" borderId="0" xfId="0" applyAlignment="1" applyProtection="1">
      <protection hidden="1"/>
    </xf>
    <xf numFmtId="0" fontId="11" fillId="0" borderId="0" xfId="0" applyFont="1" applyAlignment="1" applyProtection="1">
      <alignment horizontal="center" wrapText="1"/>
      <protection hidden="1"/>
    </xf>
    <xf numFmtId="0" fontId="0" fillId="0" borderId="0" xfId="0" applyFont="1" applyAlignment="1" applyProtection="1">
      <alignment horizontal="center" wrapText="1"/>
      <protection hidden="1"/>
    </xf>
    <xf numFmtId="0" fontId="11" fillId="2" borderId="0" xfId="2" applyFill="1" applyProtection="1">
      <protection hidden="1"/>
    </xf>
    <xf numFmtId="0" fontId="13" fillId="2" borderId="0" xfId="2" applyFont="1" applyFill="1" applyProtection="1">
      <protection hidden="1"/>
    </xf>
    <xf numFmtId="0" fontId="10" fillId="2" borderId="0" xfId="2" applyFont="1" applyFill="1" applyBorder="1" applyAlignment="1" applyProtection="1">
      <alignment horizontal="centerContinuous"/>
      <protection hidden="1"/>
    </xf>
    <xf numFmtId="0" fontId="11" fillId="2" borderId="0" xfId="2" applyFill="1" applyBorder="1" applyAlignment="1" applyProtection="1">
      <alignment horizontal="centerContinuous"/>
      <protection hidden="1"/>
    </xf>
    <xf numFmtId="0" fontId="11" fillId="2" borderId="0" xfId="2" applyFill="1" applyAlignment="1" applyProtection="1">
      <alignment wrapText="1"/>
      <protection hidden="1"/>
    </xf>
    <xf numFmtId="0" fontId="10" fillId="2" borderId="0" xfId="2" applyFont="1" applyFill="1" applyProtection="1">
      <protection hidden="1"/>
    </xf>
    <xf numFmtId="0" fontId="11" fillId="2" borderId="0" xfId="2" applyFill="1" applyBorder="1" applyAlignment="1" applyProtection="1">
      <alignment vertical="center" wrapText="1"/>
      <protection hidden="1"/>
    </xf>
    <xf numFmtId="0" fontId="11" fillId="0" borderId="0" xfId="2" applyFill="1" applyBorder="1" applyAlignment="1" applyProtection="1">
      <alignment horizontal="center" vertical="center"/>
      <protection hidden="1"/>
    </xf>
    <xf numFmtId="0" fontId="10" fillId="3" borderId="1" xfId="2" applyFont="1" applyFill="1" applyBorder="1" applyAlignment="1" applyProtection="1">
      <alignment horizontal="left"/>
      <protection hidden="1"/>
    </xf>
    <xf numFmtId="0" fontId="10" fillId="3" borderId="9" xfId="2" applyFont="1" applyFill="1" applyBorder="1" applyAlignment="1" applyProtection="1">
      <alignment horizontal="left"/>
      <protection hidden="1"/>
    </xf>
    <xf numFmtId="0" fontId="10" fillId="3" borderId="10" xfId="2" applyFont="1" applyFill="1" applyBorder="1" applyAlignment="1" applyProtection="1">
      <alignment horizontal="left"/>
      <protection hidden="1"/>
    </xf>
    <xf numFmtId="0" fontId="10" fillId="0" borderId="0" xfId="2" applyFont="1" applyFill="1" applyBorder="1" applyAlignment="1" applyProtection="1">
      <alignment horizontal="left"/>
      <protection hidden="1"/>
    </xf>
    <xf numFmtId="0" fontId="11" fillId="2" borderId="90" xfId="2" applyFill="1" applyBorder="1" applyProtection="1">
      <protection hidden="1"/>
    </xf>
    <xf numFmtId="0" fontId="10" fillId="0" borderId="39" xfId="0" applyFont="1" applyFill="1" applyBorder="1" applyAlignment="1" applyProtection="1">
      <alignment vertical="center"/>
      <protection hidden="1"/>
    </xf>
    <xf numFmtId="0" fontId="10" fillId="0" borderId="2" xfId="0" applyFont="1" applyFill="1" applyBorder="1" applyAlignment="1" applyProtection="1">
      <alignment vertical="center"/>
      <protection hidden="1"/>
    </xf>
    <xf numFmtId="0" fontId="10" fillId="0" borderId="2" xfId="0" applyFont="1" applyBorder="1" applyAlignment="1" applyProtection="1">
      <alignment vertical="center" wrapText="1"/>
      <protection hidden="1"/>
    </xf>
    <xf numFmtId="0" fontId="10" fillId="2" borderId="11" xfId="2" applyFont="1" applyFill="1" applyBorder="1" applyAlignment="1" applyProtection="1">
      <protection hidden="1"/>
    </xf>
    <xf numFmtId="0" fontId="10" fillId="2" borderId="0" xfId="2" applyFont="1" applyFill="1" applyBorder="1" applyAlignment="1" applyProtection="1">
      <protection hidden="1"/>
    </xf>
    <xf numFmtId="0" fontId="11" fillId="2" borderId="54" xfId="2" applyFill="1" applyBorder="1" applyProtection="1">
      <protection hidden="1"/>
    </xf>
    <xf numFmtId="0" fontId="11" fillId="2" borderId="52" xfId="2" applyFont="1" applyFill="1" applyBorder="1" applyAlignment="1" applyProtection="1">
      <protection hidden="1"/>
    </xf>
    <xf numFmtId="0" fontId="11" fillId="0" borderId="2" xfId="0" applyFont="1" applyFill="1" applyBorder="1" applyAlignment="1" applyProtection="1">
      <alignment vertical="center"/>
      <protection hidden="1"/>
    </xf>
    <xf numFmtId="0" fontId="11" fillId="0" borderId="2" xfId="0" applyFont="1" applyBorder="1" applyAlignment="1" applyProtection="1">
      <alignment vertical="center" wrapText="1"/>
      <protection hidden="1"/>
    </xf>
    <xf numFmtId="0" fontId="11" fillId="2" borderId="2" xfId="2" applyFill="1" applyBorder="1" applyAlignment="1" applyProtection="1">
      <alignment horizontal="right"/>
      <protection hidden="1"/>
    </xf>
    <xf numFmtId="0" fontId="11" fillId="2" borderId="7" xfId="2" applyFill="1" applyBorder="1" applyAlignment="1" applyProtection="1">
      <alignment horizontal="right"/>
      <protection hidden="1"/>
    </xf>
    <xf numFmtId="0" fontId="11" fillId="2" borderId="0" xfId="2" applyFill="1" applyBorder="1" applyAlignment="1" applyProtection="1">
      <alignment horizontal="right"/>
      <protection hidden="1"/>
    </xf>
    <xf numFmtId="0" fontId="11" fillId="2" borderId="55" xfId="2" applyFill="1" applyBorder="1" applyProtection="1">
      <protection hidden="1"/>
    </xf>
    <xf numFmtId="0" fontId="11" fillId="2" borderId="39" xfId="2" applyFill="1" applyBorder="1" applyAlignment="1" applyProtection="1">
      <alignment horizontal="right"/>
      <protection hidden="1"/>
    </xf>
    <xf numFmtId="0" fontId="11" fillId="2" borderId="56" xfId="2" applyFill="1" applyBorder="1" applyProtection="1">
      <protection hidden="1"/>
    </xf>
    <xf numFmtId="0" fontId="11" fillId="2" borderId="8" xfId="2" applyFill="1" applyBorder="1" applyAlignment="1" applyProtection="1">
      <alignment horizontal="right"/>
      <protection hidden="1"/>
    </xf>
    <xf numFmtId="0" fontId="11" fillId="2" borderId="12" xfId="2" applyFill="1" applyBorder="1" applyAlignment="1" applyProtection="1">
      <alignment vertical="center" wrapText="1"/>
      <protection hidden="1"/>
    </xf>
    <xf numFmtId="0" fontId="11" fillId="4" borderId="12" xfId="2" applyFill="1" applyBorder="1" applyAlignment="1" applyProtection="1">
      <alignment horizontal="center" vertical="center"/>
      <protection hidden="1"/>
    </xf>
    <xf numFmtId="0" fontId="10" fillId="2" borderId="4" xfId="2" applyFont="1" applyFill="1" applyBorder="1" applyAlignment="1" applyProtection="1">
      <protection hidden="1"/>
    </xf>
    <xf numFmtId="0" fontId="10" fillId="0" borderId="94" xfId="0" applyFont="1" applyFill="1" applyBorder="1" applyAlignment="1" applyProtection="1">
      <alignment vertical="center"/>
      <protection hidden="1"/>
    </xf>
    <xf numFmtId="0" fontId="11" fillId="0" borderId="94" xfId="0" applyFont="1" applyFill="1" applyBorder="1" applyAlignment="1" applyProtection="1">
      <alignment vertical="center"/>
      <protection hidden="1"/>
    </xf>
    <xf numFmtId="0" fontId="10" fillId="0" borderId="0" xfId="0" applyFont="1" applyFill="1" applyBorder="1" applyAlignment="1" applyProtection="1">
      <alignment vertical="center"/>
      <protection hidden="1"/>
    </xf>
    <xf numFmtId="0" fontId="10" fillId="0" borderId="0" xfId="0" applyFont="1" applyBorder="1" applyAlignment="1" applyProtection="1">
      <alignment vertical="center" wrapText="1"/>
      <protection hidden="1"/>
    </xf>
    <xf numFmtId="0" fontId="11" fillId="2" borderId="94" xfId="2" applyFill="1" applyBorder="1" applyAlignment="1" applyProtection="1">
      <alignment horizontal="right"/>
      <protection hidden="1"/>
    </xf>
    <xf numFmtId="0" fontId="11" fillId="0" borderId="0" xfId="0" applyFont="1" applyFill="1" applyBorder="1" applyAlignment="1" applyProtection="1">
      <alignment vertical="center"/>
      <protection hidden="1"/>
    </xf>
    <xf numFmtId="0" fontId="11" fillId="0" borderId="2" xfId="2" applyFill="1" applyBorder="1" applyAlignment="1" applyProtection="1">
      <alignment horizontal="right"/>
      <protection hidden="1"/>
    </xf>
    <xf numFmtId="0" fontId="10" fillId="3" borderId="0" xfId="2" applyFont="1" applyFill="1" applyBorder="1" applyAlignment="1" applyProtection="1">
      <alignment horizontal="left"/>
      <protection hidden="1"/>
    </xf>
    <xf numFmtId="0" fontId="11" fillId="2" borderId="8" xfId="2" quotePrefix="1" applyFill="1" applyBorder="1" applyAlignment="1" applyProtection="1">
      <alignment horizontal="right"/>
      <protection hidden="1"/>
    </xf>
    <xf numFmtId="0" fontId="11" fillId="2" borderId="0" xfId="2" applyFill="1" applyAlignment="1" applyProtection="1">
      <alignment horizontal="center"/>
      <protection hidden="1"/>
    </xf>
    <xf numFmtId="0" fontId="11" fillId="2" borderId="0" xfId="2" quotePrefix="1" applyFill="1" applyBorder="1" applyAlignment="1" applyProtection="1">
      <alignment horizontal="right"/>
      <protection hidden="1"/>
    </xf>
    <xf numFmtId="0" fontId="10" fillId="2" borderId="91" xfId="2" applyFont="1" applyFill="1" applyBorder="1" applyProtection="1">
      <protection hidden="1"/>
    </xf>
    <xf numFmtId="0" fontId="10" fillId="2" borderId="0" xfId="2" applyFont="1" applyFill="1" applyBorder="1" applyProtection="1">
      <protection hidden="1"/>
    </xf>
    <xf numFmtId="0" fontId="11" fillId="12" borderId="2" xfId="2" applyFill="1" applyBorder="1" applyAlignment="1" applyProtection="1">
      <alignment horizontal="right"/>
      <protection hidden="1"/>
    </xf>
    <xf numFmtId="0" fontId="11" fillId="8" borderId="2" xfId="2" applyFill="1" applyBorder="1" applyAlignment="1" applyProtection="1">
      <alignment horizontal="right"/>
      <protection hidden="1"/>
    </xf>
    <xf numFmtId="0" fontId="44" fillId="3" borderId="0" xfId="2" applyFont="1" applyFill="1" applyProtection="1">
      <protection hidden="1"/>
    </xf>
    <xf numFmtId="0" fontId="11" fillId="3" borderId="0" xfId="2" applyFill="1" applyProtection="1">
      <protection hidden="1"/>
    </xf>
    <xf numFmtId="0" fontId="11" fillId="2" borderId="0" xfId="2" applyFont="1" applyFill="1" applyBorder="1" applyAlignment="1" applyProtection="1">
      <protection hidden="1"/>
    </xf>
    <xf numFmtId="0" fontId="40" fillId="2" borderId="0" xfId="0" applyFont="1" applyFill="1" applyProtection="1">
      <protection hidden="1"/>
    </xf>
    <xf numFmtId="0" fontId="40" fillId="2" borderId="0" xfId="0" quotePrefix="1" applyFont="1" applyFill="1" applyProtection="1">
      <protection hidden="1"/>
    </xf>
    <xf numFmtId="49" fontId="40" fillId="2" borderId="0" xfId="0" quotePrefix="1" applyNumberFormat="1" applyFont="1" applyFill="1" applyProtection="1">
      <protection hidden="1"/>
    </xf>
    <xf numFmtId="49" fontId="40" fillId="2" borderId="0" xfId="0" applyNumberFormat="1" applyFont="1" applyFill="1" applyProtection="1">
      <protection hidden="1"/>
    </xf>
    <xf numFmtId="0" fontId="40" fillId="2" borderId="0" xfId="0" applyFont="1" applyFill="1" applyBorder="1" applyProtection="1">
      <protection hidden="1"/>
    </xf>
    <xf numFmtId="0" fontId="40" fillId="2" borderId="0" xfId="0" applyFont="1" applyFill="1" applyBorder="1" applyAlignment="1" applyProtection="1">
      <alignment horizontal="left" wrapText="1"/>
      <protection hidden="1"/>
    </xf>
    <xf numFmtId="0" fontId="40" fillId="2" borderId="0" xfId="0" applyFont="1" applyFill="1" applyBorder="1" applyAlignment="1" applyProtection="1">
      <alignment horizontal="left"/>
      <protection hidden="1"/>
    </xf>
    <xf numFmtId="2" fontId="40" fillId="2" borderId="0" xfId="0" applyNumberFormat="1" applyFont="1" applyFill="1" applyProtection="1">
      <protection hidden="1"/>
    </xf>
    <xf numFmtId="0" fontId="50" fillId="2" borderId="39" xfId="0" applyFont="1" applyFill="1" applyBorder="1"/>
    <xf numFmtId="0" fontId="50" fillId="2" borderId="6" xfId="0" applyFont="1" applyFill="1" applyBorder="1"/>
    <xf numFmtId="0" fontId="0" fillId="2" borderId="2" xfId="0" applyFill="1" applyBorder="1" applyAlignment="1" applyProtection="1">
      <alignment horizontal="center"/>
      <protection hidden="1"/>
    </xf>
    <xf numFmtId="0" fontId="22" fillId="0" borderId="0" xfId="0" applyFont="1" applyFill="1" applyBorder="1" applyAlignment="1" applyProtection="1">
      <alignment vertical="center"/>
      <protection hidden="1"/>
    </xf>
    <xf numFmtId="0" fontId="52" fillId="0" borderId="0" xfId="0" applyFont="1" applyProtection="1">
      <protection hidden="1"/>
    </xf>
    <xf numFmtId="0" fontId="23" fillId="6" borderId="63" xfId="0" applyFont="1" applyFill="1" applyBorder="1" applyAlignment="1" applyProtection="1">
      <alignment horizontal="center" vertical="center"/>
      <protection hidden="1"/>
    </xf>
    <xf numFmtId="0" fontId="23" fillId="6" borderId="2" xfId="0" applyFont="1" applyFill="1" applyBorder="1" applyAlignment="1" applyProtection="1">
      <alignment horizontal="center" vertical="center"/>
      <protection hidden="1"/>
    </xf>
    <xf numFmtId="0" fontId="0" fillId="6" borderId="0" xfId="0" applyFill="1" applyProtection="1">
      <protection hidden="1"/>
    </xf>
    <xf numFmtId="0" fontId="19" fillId="6" borderId="0" xfId="0" applyFont="1" applyFill="1" applyBorder="1" applyProtection="1">
      <protection hidden="1"/>
    </xf>
    <xf numFmtId="0" fontId="53" fillId="6" borderId="0" xfId="0" applyFont="1" applyFill="1" applyProtection="1">
      <protection hidden="1"/>
    </xf>
    <xf numFmtId="0" fontId="21" fillId="0" borderId="0" xfId="0" applyFont="1" applyAlignment="1">
      <alignment horizontal="center"/>
    </xf>
    <xf numFmtId="0" fontId="0" fillId="2" borderId="0" xfId="0" applyFill="1" applyAlignment="1" applyProtection="1">
      <protection hidden="1"/>
    </xf>
    <xf numFmtId="0" fontId="19" fillId="0" borderId="25" xfId="0" applyFont="1" applyBorder="1" applyAlignment="1" applyProtection="1">
      <protection hidden="1"/>
    </xf>
    <xf numFmtId="0" fontId="24" fillId="6" borderId="2" xfId="0" applyFont="1" applyFill="1" applyBorder="1" applyAlignment="1" applyProtection="1">
      <protection hidden="1"/>
    </xf>
    <xf numFmtId="0" fontId="19" fillId="6" borderId="64" xfId="0" applyFont="1" applyFill="1" applyBorder="1" applyAlignment="1" applyProtection="1">
      <protection hidden="1"/>
    </xf>
    <xf numFmtId="0" fontId="19" fillId="6" borderId="63" xfId="0" applyFont="1" applyFill="1" applyBorder="1" applyAlignment="1" applyProtection="1">
      <protection hidden="1"/>
    </xf>
    <xf numFmtId="0" fontId="19" fillId="6" borderId="65" xfId="0" applyFont="1" applyFill="1" applyBorder="1" applyAlignment="1" applyProtection="1">
      <protection hidden="1"/>
    </xf>
    <xf numFmtId="0" fontId="29" fillId="6" borderId="3" xfId="0" applyFont="1" applyFill="1" applyBorder="1" applyAlignment="1" applyProtection="1">
      <alignment vertical="top"/>
      <protection hidden="1"/>
    </xf>
    <xf numFmtId="0" fontId="19" fillId="6" borderId="66" xfId="0" applyFont="1" applyFill="1" applyBorder="1" applyAlignment="1" applyProtection="1">
      <protection hidden="1"/>
    </xf>
    <xf numFmtId="0" fontId="0" fillId="6" borderId="0" xfId="0" applyFill="1" applyAlignment="1" applyProtection="1">
      <protection hidden="1"/>
    </xf>
    <xf numFmtId="0" fontId="19" fillId="6" borderId="67" xfId="0" applyFont="1" applyFill="1" applyBorder="1" applyAlignment="1" applyProtection="1">
      <protection hidden="1"/>
    </xf>
    <xf numFmtId="0" fontId="19" fillId="6" borderId="68" xfId="0" applyFont="1" applyFill="1" applyBorder="1" applyAlignment="1" applyProtection="1">
      <protection hidden="1"/>
    </xf>
    <xf numFmtId="0" fontId="19" fillId="6" borderId="69" xfId="0" applyFont="1" applyFill="1" applyBorder="1" applyAlignment="1" applyProtection="1">
      <protection hidden="1"/>
    </xf>
    <xf numFmtId="0" fontId="23" fillId="6" borderId="94" xfId="0" applyFont="1" applyFill="1" applyBorder="1" applyAlignment="1" applyProtection="1">
      <alignment horizontal="center" vertical="center"/>
      <protection hidden="1"/>
    </xf>
    <xf numFmtId="0" fontId="28" fillId="6" borderId="94" xfId="0" applyFont="1" applyFill="1" applyBorder="1" applyAlignment="1" applyProtection="1">
      <alignment vertical="center"/>
      <protection hidden="1"/>
    </xf>
    <xf numFmtId="0" fontId="29" fillId="6" borderId="94" xfId="0" applyFont="1" applyFill="1" applyBorder="1" applyAlignment="1" applyProtection="1">
      <alignment vertical="top"/>
      <protection hidden="1"/>
    </xf>
    <xf numFmtId="0" fontId="29" fillId="6" borderId="4" xfId="0" applyFont="1" applyFill="1" applyBorder="1" applyAlignment="1" applyProtection="1">
      <alignment vertical="top"/>
      <protection hidden="1"/>
    </xf>
    <xf numFmtId="0" fontId="19" fillId="6" borderId="103" xfId="0" applyFont="1" applyFill="1" applyBorder="1" applyAlignment="1" applyProtection="1">
      <protection hidden="1"/>
    </xf>
    <xf numFmtId="0" fontId="23" fillId="0" borderId="0" xfId="0" applyFont="1" applyFill="1" applyBorder="1" applyAlignment="1" applyProtection="1">
      <alignment horizontal="center" vertical="center"/>
      <protection hidden="1"/>
    </xf>
    <xf numFmtId="0" fontId="28" fillId="0" borderId="0" xfId="0" applyFont="1" applyFill="1" applyBorder="1" applyAlignment="1" applyProtection="1">
      <alignment vertical="center"/>
      <protection hidden="1"/>
    </xf>
    <xf numFmtId="0" fontId="29" fillId="0" borderId="0" xfId="0" applyFont="1" applyFill="1" applyBorder="1" applyAlignment="1" applyProtection="1">
      <alignment vertical="top"/>
      <protection hidden="1"/>
    </xf>
    <xf numFmtId="0" fontId="19" fillId="0" borderId="0" xfId="0" applyFont="1" applyFill="1" applyBorder="1" applyAlignment="1" applyProtection="1">
      <protection hidden="1"/>
    </xf>
    <xf numFmtId="0" fontId="21" fillId="2" borderId="0" xfId="0" applyFont="1" applyFill="1" applyAlignment="1" applyProtection="1">
      <alignment horizontal="centerContinuous"/>
      <protection hidden="1"/>
    </xf>
    <xf numFmtId="0" fontId="21" fillId="0" borderId="0" xfId="0" applyFont="1" applyAlignment="1">
      <alignment horizontal="centerContinuous"/>
    </xf>
    <xf numFmtId="0" fontId="23" fillId="6" borderId="70" xfId="0" applyFont="1" applyFill="1" applyBorder="1" applyAlignment="1" applyProtection="1">
      <alignment horizontal="centerContinuous" vertical="center"/>
      <protection hidden="1"/>
    </xf>
    <xf numFmtId="0" fontId="23" fillId="6" borderId="71" xfId="0" applyFont="1" applyFill="1" applyBorder="1" applyAlignment="1" applyProtection="1">
      <alignment horizontal="centerContinuous" vertical="center"/>
      <protection hidden="1"/>
    </xf>
    <xf numFmtId="0" fontId="23" fillId="6" borderId="102" xfId="0" applyFont="1" applyFill="1" applyBorder="1" applyAlignment="1" applyProtection="1">
      <alignment horizontal="centerContinuous" vertical="center"/>
      <protection hidden="1"/>
    </xf>
    <xf numFmtId="0" fontId="24" fillId="6" borderId="0" xfId="0" applyFont="1" applyFill="1" applyBorder="1" applyAlignment="1" applyProtection="1">
      <alignment horizontal="left"/>
      <protection hidden="1"/>
    </xf>
    <xf numFmtId="0" fontId="24" fillId="6" borderId="0" xfId="0" applyFont="1" applyFill="1" applyBorder="1" applyProtection="1">
      <protection hidden="1"/>
    </xf>
    <xf numFmtId="0" fontId="24" fillId="6" borderId="0" xfId="0" applyFont="1" applyFill="1" applyBorder="1" applyAlignment="1" applyProtection="1">
      <alignment horizontal="center"/>
      <protection hidden="1"/>
    </xf>
    <xf numFmtId="0" fontId="0" fillId="6" borderId="0" xfId="0" applyFill="1" applyBorder="1" applyProtection="1">
      <protection hidden="1"/>
    </xf>
    <xf numFmtId="0" fontId="0" fillId="0" borderId="35" xfId="0" applyBorder="1" applyProtection="1">
      <protection hidden="1"/>
    </xf>
    <xf numFmtId="0" fontId="0" fillId="0" borderId="35" xfId="0" applyBorder="1" applyAlignment="1" applyProtection="1">
      <alignment horizontal="center" wrapText="1"/>
      <protection locked="0" hidden="1"/>
    </xf>
    <xf numFmtId="0" fontId="0" fillId="0" borderId="35" xfId="0" applyBorder="1" applyAlignment="1" applyProtection="1">
      <alignment horizontal="center"/>
      <protection locked="0" hidden="1"/>
    </xf>
    <xf numFmtId="0" fontId="0" fillId="14" borderId="32" xfId="0" applyFill="1" applyBorder="1" applyProtection="1">
      <protection hidden="1"/>
    </xf>
    <xf numFmtId="0" fontId="0" fillId="14" borderId="32" xfId="0" applyFill="1" applyBorder="1" applyAlignment="1" applyProtection="1">
      <alignment horizontal="center" wrapText="1"/>
      <protection hidden="1"/>
    </xf>
    <xf numFmtId="0" fontId="0" fillId="14" borderId="32" xfId="0" applyFill="1" applyBorder="1" applyAlignment="1" applyProtection="1">
      <alignment horizontal="center"/>
      <protection hidden="1"/>
    </xf>
    <xf numFmtId="0" fontId="0" fillId="14" borderId="15" xfId="0" applyFill="1" applyBorder="1" applyAlignment="1" applyProtection="1">
      <alignment horizontal="center"/>
      <protection hidden="1"/>
    </xf>
    <xf numFmtId="0" fontId="0" fillId="15" borderId="16" xfId="0" applyFill="1" applyBorder="1" applyAlignment="1" applyProtection="1">
      <alignment horizontal="left"/>
      <protection hidden="1"/>
    </xf>
    <xf numFmtId="0" fontId="11" fillId="17" borderId="28" xfId="0" applyFont="1" applyFill="1" applyBorder="1" applyProtection="1">
      <protection hidden="1"/>
    </xf>
    <xf numFmtId="0" fontId="11" fillId="16" borderId="0" xfId="0" applyFont="1" applyFill="1" applyProtection="1">
      <protection hidden="1"/>
    </xf>
    <xf numFmtId="0" fontId="0" fillId="16" borderId="0" xfId="0" applyFill="1" applyProtection="1">
      <protection hidden="1"/>
    </xf>
    <xf numFmtId="0" fontId="40" fillId="16" borderId="0" xfId="0" applyFont="1" applyFill="1" applyProtection="1">
      <protection hidden="1"/>
    </xf>
    <xf numFmtId="1" fontId="11" fillId="0" borderId="0" xfId="0" applyNumberFormat="1" applyFont="1" applyProtection="1">
      <protection hidden="1"/>
    </xf>
    <xf numFmtId="0" fontId="11" fillId="2" borderId="2" xfId="0" applyFont="1" applyFill="1" applyBorder="1" applyAlignment="1" applyProtection="1">
      <alignment horizontal="center"/>
      <protection hidden="1"/>
    </xf>
    <xf numFmtId="0" fontId="0" fillId="0" borderId="0" xfId="0" applyBorder="1" applyAlignment="1" applyProtection="1">
      <alignment horizontal="center"/>
      <protection hidden="1"/>
    </xf>
    <xf numFmtId="0" fontId="11" fillId="7" borderId="27" xfId="0" applyFont="1" applyFill="1" applyBorder="1" applyAlignment="1" applyProtection="1">
      <alignment horizontal="center"/>
      <protection hidden="1"/>
    </xf>
    <xf numFmtId="0" fontId="46" fillId="2" borderId="0" xfId="0" applyFont="1" applyFill="1" applyProtection="1">
      <protection hidden="1"/>
    </xf>
    <xf numFmtId="0" fontId="40" fillId="2" borderId="0" xfId="0" applyFont="1" applyFill="1" applyAlignment="1" applyProtection="1">
      <alignment horizontal="left"/>
      <protection hidden="1"/>
    </xf>
    <xf numFmtId="0" fontId="51" fillId="0" borderId="0" xfId="0" applyFont="1" applyProtection="1">
      <protection hidden="1"/>
    </xf>
    <xf numFmtId="0" fontId="24" fillId="6" borderId="68" xfId="0" applyFont="1" applyFill="1" applyBorder="1" applyAlignment="1" applyProtection="1">
      <protection hidden="1"/>
    </xf>
    <xf numFmtId="0" fontId="55" fillId="2" borderId="0" xfId="0" applyFont="1" applyFill="1" applyProtection="1">
      <protection hidden="1"/>
    </xf>
    <xf numFmtId="0" fontId="56" fillId="6" borderId="68" xfId="5" applyFont="1" applyFill="1" applyBorder="1" applyAlignment="1" applyProtection="1">
      <protection hidden="1"/>
    </xf>
    <xf numFmtId="0" fontId="24" fillId="6" borderId="67" xfId="0" applyFont="1" applyFill="1" applyBorder="1" applyAlignment="1" applyProtection="1">
      <protection hidden="1"/>
    </xf>
    <xf numFmtId="0" fontId="19" fillId="6" borderId="33" xfId="0" applyFont="1" applyFill="1" applyBorder="1" applyProtection="1">
      <protection hidden="1"/>
    </xf>
    <xf numFmtId="0" fontId="19" fillId="6" borderId="33" xfId="0" applyFont="1" applyFill="1" applyBorder="1" applyAlignment="1" applyProtection="1">
      <alignment horizontal="center"/>
      <protection hidden="1"/>
    </xf>
    <xf numFmtId="0" fontId="56" fillId="6" borderId="2" xfId="5" applyFont="1" applyFill="1" applyBorder="1" applyAlignment="1" applyProtection="1">
      <protection hidden="1"/>
    </xf>
    <xf numFmtId="0" fontId="0" fillId="0" borderId="0" xfId="0" applyAlignment="1" applyProtection="1">
      <alignment horizontal="center"/>
      <protection hidden="1"/>
    </xf>
    <xf numFmtId="0" fontId="0" fillId="8" borderId="4" xfId="0" applyFill="1" applyBorder="1" applyAlignment="1" applyProtection="1">
      <alignment horizontal="center"/>
      <protection locked="0" hidden="1"/>
    </xf>
    <xf numFmtId="0" fontId="11" fillId="5" borderId="104" xfId="0" quotePrefix="1" applyFont="1" applyFill="1" applyBorder="1" applyAlignment="1" applyProtection="1">
      <alignment horizontal="center"/>
      <protection hidden="1"/>
    </xf>
    <xf numFmtId="177" fontId="40" fillId="2" borderId="0" xfId="0" applyNumberFormat="1" applyFont="1" applyFill="1" applyAlignment="1" applyProtection="1">
      <alignment horizontal="left"/>
      <protection hidden="1"/>
    </xf>
    <xf numFmtId="0" fontId="0" fillId="8" borderId="94" xfId="0" applyFill="1" applyBorder="1" applyAlignment="1" applyProtection="1">
      <alignment horizontal="center"/>
      <protection locked="0" hidden="1"/>
    </xf>
    <xf numFmtId="0" fontId="0" fillId="0" borderId="2" xfId="0" applyFill="1" applyBorder="1" applyAlignment="1" applyProtection="1">
      <alignment horizontal="center"/>
      <protection locked="0" hidden="1"/>
    </xf>
    <xf numFmtId="0" fontId="48" fillId="2" borderId="0" xfId="0" applyFont="1" applyFill="1" applyBorder="1" applyAlignment="1">
      <alignment horizontal="center"/>
    </xf>
    <xf numFmtId="0" fontId="50" fillId="2" borderId="0" xfId="0" applyFont="1" applyFill="1" applyBorder="1"/>
    <xf numFmtId="0" fontId="48" fillId="2" borderId="0" xfId="0" applyFont="1" applyFill="1" applyBorder="1"/>
    <xf numFmtId="0" fontId="11" fillId="2" borderId="27" xfId="2" applyFont="1" applyFill="1" applyBorder="1" applyAlignment="1" applyProtection="1">
      <alignment horizontal="center"/>
    </xf>
    <xf numFmtId="49" fontId="11" fillId="2" borderId="13" xfId="2" applyNumberFormat="1" applyFont="1" applyFill="1" applyBorder="1" applyAlignment="1" applyProtection="1">
      <alignment horizontal="center" vertical="center"/>
    </xf>
    <xf numFmtId="0" fontId="11" fillId="2" borderId="13" xfId="2" applyFont="1" applyFill="1" applyBorder="1" applyProtection="1"/>
    <xf numFmtId="0" fontId="11" fillId="2" borderId="15" xfId="2" applyFont="1" applyFill="1" applyBorder="1" applyProtection="1"/>
    <xf numFmtId="0" fontId="3" fillId="0" borderId="0" xfId="4" applyFont="1" applyAlignment="1">
      <alignment horizontal="center"/>
    </xf>
    <xf numFmtId="0" fontId="2" fillId="0" borderId="0" xfId="4" applyFont="1" applyAlignment="1">
      <alignment horizontal="center" wrapText="1"/>
    </xf>
    <xf numFmtId="0" fontId="2" fillId="0" borderId="0" xfId="4" applyFont="1" applyAlignment="1">
      <alignment horizontal="centerContinuous"/>
    </xf>
    <xf numFmtId="0" fontId="8" fillId="0" borderId="0" xfId="4" applyAlignment="1"/>
    <xf numFmtId="0" fontId="4" fillId="0" borderId="0" xfId="4" applyFont="1" applyAlignment="1"/>
    <xf numFmtId="0" fontId="2" fillId="0" borderId="0" xfId="4" applyFont="1" applyAlignment="1">
      <alignment horizontal="center"/>
    </xf>
    <xf numFmtId="0" fontId="0" fillId="0" borderId="0" xfId="0" applyAlignment="1">
      <alignment horizontal="center"/>
    </xf>
    <xf numFmtId="49" fontId="11" fillId="0" borderId="0" xfId="0" applyNumberFormat="1" applyFont="1" applyAlignment="1">
      <alignment horizontal="center"/>
    </xf>
    <xf numFmtId="0" fontId="11" fillId="0" borderId="0" xfId="0" applyFont="1"/>
    <xf numFmtId="0" fontId="11" fillId="0" borderId="0" xfId="0" applyFont="1" applyAlignment="1">
      <alignment horizontal="center"/>
    </xf>
    <xf numFmtId="0" fontId="11" fillId="0" borderId="0" xfId="0" applyNumberFormat="1" applyFont="1" applyAlignment="1">
      <alignment horizontal="center"/>
    </xf>
    <xf numFmtId="0" fontId="11" fillId="0" borderId="0" xfId="0" applyFont="1" applyAlignment="1">
      <alignment horizontal="center" wrapText="1"/>
    </xf>
    <xf numFmtId="0" fontId="0" fillId="0" borderId="110" xfId="0" applyBorder="1"/>
    <xf numFmtId="0" fontId="0" fillId="0" borderId="111" xfId="0" applyBorder="1"/>
    <xf numFmtId="0" fontId="0" fillId="0" borderId="112" xfId="0" applyBorder="1"/>
    <xf numFmtId="0" fontId="0" fillId="0" borderId="113" xfId="0" applyBorder="1"/>
    <xf numFmtId="0" fontId="0" fillId="0" borderId="114" xfId="0" applyBorder="1"/>
    <xf numFmtId="0" fontId="0" fillId="0" borderId="115" xfId="0" applyBorder="1"/>
    <xf numFmtId="0" fontId="0" fillId="0" borderId="116" xfId="0" applyBorder="1"/>
    <xf numFmtId="0" fontId="0" fillId="0" borderId="117" xfId="0" applyBorder="1"/>
    <xf numFmtId="0" fontId="0" fillId="0" borderId="118" xfId="0" applyBorder="1"/>
    <xf numFmtId="0" fontId="0" fillId="0" borderId="0" xfId="0" applyAlignment="1">
      <alignment horizontal="left"/>
    </xf>
    <xf numFmtId="0" fontId="0" fillId="0" borderId="0" xfId="0" applyFont="1" applyAlignment="1">
      <alignment horizontal="center"/>
    </xf>
    <xf numFmtId="0" fontId="0" fillId="0" borderId="0" xfId="0" applyAlignment="1"/>
    <xf numFmtId="0" fontId="0" fillId="0" borderId="0" xfId="0" applyAlignment="1">
      <alignment horizontal="centerContinuous"/>
    </xf>
    <xf numFmtId="0" fontId="10" fillId="0" borderId="0" xfId="0" applyFont="1" applyFill="1" applyAlignment="1"/>
    <xf numFmtId="0" fontId="10" fillId="0" borderId="0" xfId="0" applyFont="1" applyFill="1" applyAlignment="1">
      <alignment horizontal="left"/>
    </xf>
    <xf numFmtId="0" fontId="58" fillId="9" borderId="27" xfId="0" applyFont="1" applyFill="1" applyBorder="1" applyAlignment="1">
      <alignment horizontal="centerContinuous"/>
    </xf>
    <xf numFmtId="0" fontId="10" fillId="9" borderId="28" xfId="0" applyFont="1" applyFill="1" applyBorder="1" applyAlignment="1">
      <alignment horizontal="centerContinuous"/>
    </xf>
    <xf numFmtId="0" fontId="10" fillId="9" borderId="13" xfId="0" applyFont="1" applyFill="1" applyBorder="1"/>
    <xf numFmtId="0" fontId="10" fillId="9" borderId="14" xfId="0" applyFont="1" applyFill="1" applyBorder="1" applyAlignment="1">
      <alignment horizontal="left"/>
    </xf>
    <xf numFmtId="0" fontId="10" fillId="9" borderId="15" xfId="0" applyFont="1" applyFill="1" applyBorder="1"/>
    <xf numFmtId="0" fontId="10" fillId="9" borderId="16" xfId="0" applyFont="1" applyFill="1" applyBorder="1" applyAlignment="1">
      <alignment horizontal="left"/>
    </xf>
    <xf numFmtId="0" fontId="1" fillId="0" borderId="0" xfId="4" applyFont="1" applyAlignment="1">
      <alignment horizontal="center"/>
    </xf>
    <xf numFmtId="0" fontId="1" fillId="0" borderId="0" xfId="4" applyFont="1"/>
    <xf numFmtId="0" fontId="0" fillId="0" borderId="0" xfId="0" applyFill="1" applyProtection="1">
      <protection hidden="1"/>
    </xf>
    <xf numFmtId="0" fontId="40" fillId="0" borderId="0" xfId="0" applyFont="1" applyFill="1" applyProtection="1">
      <protection hidden="1"/>
    </xf>
    <xf numFmtId="0" fontId="40" fillId="0" borderId="0" xfId="0" applyFont="1"/>
    <xf numFmtId="0" fontId="51" fillId="0" borderId="119" xfId="0" applyFont="1" applyBorder="1" applyAlignment="1">
      <alignment vertical="center"/>
    </xf>
    <xf numFmtId="0" fontId="51" fillId="0" borderId="120" xfId="0" applyFont="1" applyBorder="1" applyAlignment="1">
      <alignment vertical="center"/>
    </xf>
    <xf numFmtId="0" fontId="51" fillId="0" borderId="0" xfId="0" applyFont="1" applyBorder="1" applyAlignment="1">
      <alignment vertical="center"/>
    </xf>
    <xf numFmtId="49" fontId="11" fillId="2" borderId="2" xfId="2" applyNumberFormat="1" applyFill="1" applyBorder="1" applyAlignment="1" applyProtection="1"/>
    <xf numFmtId="49" fontId="11" fillId="2" borderId="14" xfId="2" applyNumberFormat="1" applyFill="1" applyBorder="1" applyAlignment="1" applyProtection="1"/>
    <xf numFmtId="49" fontId="11" fillId="2" borderId="2" xfId="2" applyNumberFormat="1" applyFill="1" applyBorder="1" applyAlignment="1" applyProtection="1">
      <alignment vertical="top" wrapText="1"/>
    </xf>
    <xf numFmtId="49" fontId="0" fillId="0" borderId="2" xfId="0" applyNumberFormat="1" applyBorder="1" applyAlignment="1">
      <alignment vertical="top"/>
    </xf>
    <xf numFmtId="49" fontId="0" fillId="0" borderId="14" xfId="0" applyNumberFormat="1" applyBorder="1" applyAlignment="1">
      <alignment vertical="top"/>
    </xf>
    <xf numFmtId="0" fontId="11" fillId="2" borderId="36" xfId="2" applyFill="1" applyBorder="1" applyAlignment="1" applyProtection="1">
      <alignment horizontal="center"/>
    </xf>
    <xf numFmtId="0" fontId="0" fillId="0" borderId="36" xfId="0" applyBorder="1" applyAlignment="1">
      <alignment horizontal="center"/>
    </xf>
    <xf numFmtId="0" fontId="0" fillId="0" borderId="28" xfId="0" applyBorder="1" applyAlignment="1">
      <alignment horizontal="center"/>
    </xf>
    <xf numFmtId="0" fontId="15" fillId="6" borderId="20" xfId="2" applyFont="1" applyFill="1" applyBorder="1" applyAlignment="1" applyProtection="1">
      <alignment horizontal="center"/>
    </xf>
    <xf numFmtId="0" fontId="15" fillId="6" borderId="21" xfId="0" applyFont="1" applyFill="1" applyBorder="1" applyAlignment="1">
      <alignment horizontal="center"/>
    </xf>
    <xf numFmtId="0" fontId="15" fillId="6" borderId="22" xfId="0" applyFont="1" applyFill="1" applyBorder="1" applyAlignment="1">
      <alignment horizontal="center"/>
    </xf>
    <xf numFmtId="0" fontId="11" fillId="2" borderId="94" xfId="2" applyFill="1" applyBorder="1" applyAlignment="1" applyProtection="1"/>
    <xf numFmtId="0" fontId="0" fillId="0" borderId="106" xfId="0" applyBorder="1" applyAlignment="1"/>
    <xf numFmtId="0" fontId="0" fillId="0" borderId="105" xfId="0" applyBorder="1" applyAlignment="1"/>
    <xf numFmtId="0" fontId="11" fillId="2" borderId="107" xfId="2" applyFill="1" applyBorder="1" applyAlignment="1" applyProtection="1"/>
    <xf numFmtId="0" fontId="0" fillId="0" borderId="108" xfId="0" applyBorder="1" applyAlignment="1"/>
    <xf numFmtId="0" fontId="0" fillId="0" borderId="109" xfId="0" applyBorder="1" applyAlignment="1"/>
    <xf numFmtId="49" fontId="0" fillId="0" borderId="2" xfId="0" applyNumberFormat="1" applyBorder="1" applyAlignment="1"/>
    <xf numFmtId="49" fontId="0" fillId="0" borderId="14" xfId="0" applyNumberFormat="1" applyBorder="1" applyAlignment="1"/>
    <xf numFmtId="0" fontId="11" fillId="2" borderId="2" xfId="2" applyFill="1" applyBorder="1" applyAlignment="1" applyProtection="1"/>
    <xf numFmtId="0" fontId="0" fillId="0" borderId="2" xfId="0" applyBorder="1" applyAlignment="1"/>
    <xf numFmtId="0" fontId="0" fillId="0" borderId="14" xfId="0" applyBorder="1" applyAlignment="1"/>
    <xf numFmtId="49" fontId="11" fillId="2" borderId="2" xfId="2" applyNumberFormat="1" applyFill="1" applyBorder="1" applyAlignment="1" applyProtection="1">
      <alignment wrapText="1"/>
    </xf>
    <xf numFmtId="0" fontId="33" fillId="6" borderId="78" xfId="2" applyFont="1" applyFill="1" applyBorder="1" applyAlignment="1" applyProtection="1">
      <alignment horizontal="center" vertical="center"/>
    </xf>
    <xf numFmtId="0" fontId="33" fillId="6" borderId="79" xfId="2" applyFont="1" applyFill="1" applyBorder="1" applyAlignment="1" applyProtection="1">
      <alignment horizontal="center" vertical="center"/>
    </xf>
    <xf numFmtId="0" fontId="33" fillId="6" borderId="47" xfId="2" applyFont="1" applyFill="1" applyBorder="1" applyAlignment="1" applyProtection="1">
      <alignment horizontal="center" vertical="center"/>
    </xf>
    <xf numFmtId="0" fontId="57" fillId="2" borderId="23" xfId="2" applyFont="1" applyFill="1" applyBorder="1" applyAlignment="1" applyProtection="1">
      <alignment horizontal="center" vertical="center"/>
    </xf>
    <xf numFmtId="0" fontId="57" fillId="2" borderId="0" xfId="2" applyFont="1" applyFill="1" applyBorder="1" applyAlignment="1" applyProtection="1">
      <alignment horizontal="center" vertical="center"/>
    </xf>
    <xf numFmtId="0" fontId="57" fillId="2" borderId="24" xfId="2" applyFont="1" applyFill="1" applyBorder="1" applyAlignment="1" applyProtection="1">
      <alignment horizontal="center" vertical="center"/>
    </xf>
    <xf numFmtId="0" fontId="31" fillId="2" borderId="34" xfId="2" applyNumberFormat="1" applyFont="1" applyFill="1" applyBorder="1" applyAlignment="1" applyProtection="1">
      <alignment horizontal="center" vertical="center"/>
    </xf>
    <xf numFmtId="0" fontId="32" fillId="2" borderId="34" xfId="2" applyNumberFormat="1" applyFont="1" applyFill="1" applyBorder="1" applyAlignment="1" applyProtection="1">
      <alignment horizontal="center" vertical="center"/>
    </xf>
    <xf numFmtId="0" fontId="32" fillId="2" borderId="34" xfId="2" applyFont="1" applyFill="1" applyBorder="1" applyAlignment="1" applyProtection="1">
      <alignment horizontal="center" vertical="center"/>
    </xf>
    <xf numFmtId="0" fontId="33" fillId="2" borderId="78" xfId="2" applyFont="1" applyFill="1" applyBorder="1" applyAlignment="1" applyProtection="1">
      <alignment horizontal="center"/>
    </xf>
    <xf numFmtId="0" fontId="33" fillId="2" borderId="79" xfId="2" applyFont="1" applyFill="1" applyBorder="1" applyAlignment="1" applyProtection="1">
      <alignment horizontal="center"/>
    </xf>
    <xf numFmtId="0" fontId="33" fillId="2" borderId="47" xfId="2" applyFont="1" applyFill="1" applyBorder="1" applyAlignment="1" applyProtection="1">
      <alignment horizontal="center"/>
    </xf>
    <xf numFmtId="0" fontId="20" fillId="2" borderId="41" xfId="2" applyFont="1" applyFill="1" applyBorder="1" applyAlignment="1" applyProtection="1">
      <alignment horizontal="center" vertical="center"/>
    </xf>
    <xf numFmtId="0" fontId="20" fillId="2" borderId="42" xfId="2" applyFont="1" applyFill="1" applyBorder="1" applyAlignment="1" applyProtection="1">
      <alignment horizontal="center" vertical="center"/>
    </xf>
    <xf numFmtId="0" fontId="20" fillId="2" borderId="72" xfId="2" applyFont="1" applyFill="1" applyBorder="1" applyAlignment="1" applyProtection="1">
      <alignment horizontal="center" vertical="center"/>
    </xf>
    <xf numFmtId="0" fontId="19" fillId="2" borderId="81" xfId="2" applyFont="1" applyFill="1" applyBorder="1" applyAlignment="1" applyProtection="1">
      <alignment horizontal="center" vertical="center"/>
    </xf>
    <xf numFmtId="0" fontId="19" fillId="2" borderId="42" xfId="2" applyFont="1" applyFill="1" applyBorder="1" applyAlignment="1" applyProtection="1">
      <alignment horizontal="center" vertical="center"/>
    </xf>
    <xf numFmtId="0" fontId="19" fillId="2" borderId="43" xfId="2" applyFont="1" applyFill="1" applyBorder="1" applyAlignment="1" applyProtection="1">
      <alignment horizontal="center" vertical="center"/>
    </xf>
    <xf numFmtId="0" fontId="20" fillId="2" borderId="82" xfId="2" applyFont="1" applyFill="1" applyBorder="1" applyAlignment="1" applyProtection="1">
      <alignment horizontal="center" vertical="center"/>
    </xf>
    <xf numFmtId="0" fontId="20" fillId="2" borderId="49" xfId="2" applyFont="1" applyFill="1" applyBorder="1" applyAlignment="1" applyProtection="1">
      <alignment horizontal="center" vertical="center"/>
    </xf>
    <xf numFmtId="0" fontId="20" fillId="2" borderId="50" xfId="2" applyFont="1" applyFill="1" applyBorder="1" applyAlignment="1" applyProtection="1">
      <alignment horizontal="center" vertical="center"/>
    </xf>
    <xf numFmtId="0" fontId="19" fillId="2" borderId="48" xfId="2" applyFont="1" applyFill="1" applyBorder="1" applyAlignment="1" applyProtection="1">
      <alignment horizontal="center" vertical="center"/>
    </xf>
    <xf numFmtId="0" fontId="19" fillId="2" borderId="49" xfId="2" applyFont="1" applyFill="1" applyBorder="1" applyAlignment="1" applyProtection="1">
      <alignment horizontal="center" vertical="center"/>
    </xf>
    <xf numFmtId="0" fontId="19" fillId="2" borderId="73" xfId="2" applyFont="1" applyFill="1" applyBorder="1" applyAlignment="1" applyProtection="1">
      <alignment horizontal="center" vertical="center"/>
    </xf>
    <xf numFmtId="0" fontId="14" fillId="0" borderId="20" xfId="0" applyFont="1" applyBorder="1" applyAlignment="1" applyProtection="1">
      <alignment horizontal="left" vertical="center"/>
      <protection hidden="1"/>
    </xf>
    <xf numFmtId="0" fontId="14" fillId="0" borderId="21" xfId="0" applyFont="1" applyBorder="1" applyAlignment="1" applyProtection="1">
      <alignment horizontal="left" vertical="center"/>
      <protection hidden="1"/>
    </xf>
    <xf numFmtId="0" fontId="14" fillId="0" borderId="22" xfId="0" applyFont="1" applyBorder="1" applyAlignment="1" applyProtection="1">
      <alignment horizontal="left" vertical="center"/>
      <protection hidden="1"/>
    </xf>
    <xf numFmtId="0" fontId="14" fillId="0" borderId="23" xfId="0" applyFont="1" applyBorder="1" applyAlignment="1" applyProtection="1">
      <alignment horizontal="left" vertical="center"/>
      <protection hidden="1"/>
    </xf>
    <xf numFmtId="0" fontId="14" fillId="0" borderId="0" xfId="0" applyFont="1" applyBorder="1" applyAlignment="1" applyProtection="1">
      <alignment horizontal="left" vertical="center"/>
      <protection hidden="1"/>
    </xf>
    <xf numFmtId="0" fontId="14" fillId="0" borderId="24" xfId="0" applyFont="1" applyBorder="1" applyAlignment="1" applyProtection="1">
      <alignment horizontal="left" vertical="center"/>
      <protection hidden="1"/>
    </xf>
    <xf numFmtId="0" fontId="21" fillId="0" borderId="20" xfId="0" applyFont="1" applyFill="1" applyBorder="1" applyAlignment="1" applyProtection="1">
      <alignment horizontal="center" vertical="center"/>
      <protection hidden="1"/>
    </xf>
    <xf numFmtId="0" fontId="21" fillId="0" borderId="21" xfId="0" applyFont="1" applyFill="1" applyBorder="1" applyAlignment="1" applyProtection="1">
      <alignment horizontal="center" vertical="center"/>
      <protection hidden="1"/>
    </xf>
    <xf numFmtId="0" fontId="21" fillId="0" borderId="22" xfId="0" applyFont="1" applyFill="1" applyBorder="1" applyAlignment="1" applyProtection="1">
      <alignment horizontal="center" vertical="center"/>
      <protection hidden="1"/>
    </xf>
    <xf numFmtId="0" fontId="21" fillId="0" borderId="23" xfId="0" applyFont="1" applyFill="1" applyBorder="1" applyAlignment="1" applyProtection="1">
      <alignment horizontal="center" vertical="center"/>
      <protection hidden="1"/>
    </xf>
    <xf numFmtId="0" fontId="21" fillId="0" borderId="0" xfId="0" applyFont="1" applyFill="1" applyBorder="1" applyAlignment="1" applyProtection="1">
      <alignment horizontal="center" vertical="center"/>
      <protection hidden="1"/>
    </xf>
    <xf numFmtId="0" fontId="21" fillId="0" borderId="24" xfId="0" applyFont="1" applyFill="1" applyBorder="1" applyAlignment="1" applyProtection="1">
      <alignment horizontal="center" vertical="center"/>
      <protection hidden="1"/>
    </xf>
    <xf numFmtId="0" fontId="23" fillId="6" borderId="58" xfId="0" applyFont="1" applyFill="1" applyBorder="1" applyAlignment="1" applyProtection="1">
      <alignment horizontal="center" vertical="center"/>
      <protection hidden="1"/>
    </xf>
    <xf numFmtId="0" fontId="23" fillId="6" borderId="59" xfId="0" applyFont="1" applyFill="1" applyBorder="1" applyAlignment="1" applyProtection="1">
      <alignment horizontal="center" vertical="center"/>
      <protection hidden="1"/>
    </xf>
    <xf numFmtId="0" fontId="23" fillId="6" borderId="60" xfId="0" applyFont="1" applyFill="1" applyBorder="1" applyAlignment="1" applyProtection="1">
      <alignment horizontal="center" vertical="center"/>
      <protection hidden="1"/>
    </xf>
    <xf numFmtId="0" fontId="23" fillId="6" borderId="61" xfId="0" applyFont="1" applyFill="1" applyBorder="1" applyAlignment="1" applyProtection="1">
      <alignment horizontal="center" vertical="center"/>
      <protection hidden="1"/>
    </xf>
    <xf numFmtId="0" fontId="23" fillId="6" borderId="51" xfId="0" applyFont="1" applyFill="1" applyBorder="1" applyAlignment="1" applyProtection="1">
      <alignment horizontal="center" vertical="center"/>
      <protection hidden="1"/>
    </xf>
    <xf numFmtId="0" fontId="23" fillId="6" borderId="62" xfId="0" applyFont="1" applyFill="1" applyBorder="1" applyAlignment="1" applyProtection="1">
      <alignment horizontal="center" vertical="center"/>
      <protection hidden="1"/>
    </xf>
    <xf numFmtId="0" fontId="39" fillId="0" borderId="86" xfId="0" applyFont="1" applyBorder="1" applyAlignment="1" applyProtection="1">
      <alignment horizontal="left" vertical="center" wrapText="1"/>
      <protection hidden="1"/>
    </xf>
    <xf numFmtId="0" fontId="39" fillId="0" borderId="87" xfId="0" applyFont="1" applyBorder="1" applyAlignment="1" applyProtection="1">
      <alignment horizontal="left" vertical="center" wrapText="1"/>
      <protection hidden="1"/>
    </xf>
    <xf numFmtId="0" fontId="39" fillId="0" borderId="88" xfId="0" applyFont="1" applyBorder="1" applyAlignment="1" applyProtection="1">
      <alignment horizontal="left" vertical="center" wrapText="1"/>
      <protection hidden="1"/>
    </xf>
    <xf numFmtId="0" fontId="18" fillId="0" borderId="20" xfId="0" applyFont="1" applyFill="1" applyBorder="1" applyAlignment="1" applyProtection="1">
      <alignment horizontal="center"/>
      <protection hidden="1"/>
    </xf>
    <xf numFmtId="0" fontId="18" fillId="0" borderId="22" xfId="0" applyFont="1" applyFill="1" applyBorder="1" applyAlignment="1" applyProtection="1">
      <alignment horizontal="center"/>
      <protection hidden="1"/>
    </xf>
    <xf numFmtId="0" fontId="15" fillId="6" borderId="53" xfId="0" applyFont="1" applyFill="1" applyBorder="1" applyAlignment="1" applyProtection="1">
      <alignment horizontal="center" vertical="center"/>
      <protection hidden="1"/>
    </xf>
    <xf numFmtId="0" fontId="15" fillId="6" borderId="6" xfId="0" applyFont="1" applyFill="1" applyBorder="1" applyAlignment="1" applyProtection="1">
      <alignment horizontal="center" vertical="center"/>
      <protection hidden="1"/>
    </xf>
    <xf numFmtId="0" fontId="15" fillId="6" borderId="83" xfId="0" applyFont="1" applyFill="1" applyBorder="1" applyAlignment="1" applyProtection="1">
      <alignment horizontal="center" vertical="center"/>
      <protection hidden="1"/>
    </xf>
    <xf numFmtId="0" fontId="15" fillId="6" borderId="2" xfId="0" applyFont="1" applyFill="1" applyBorder="1" applyAlignment="1" applyProtection="1">
      <alignment horizontal="center" vertical="center"/>
      <protection hidden="1"/>
    </xf>
    <xf numFmtId="0" fontId="15" fillId="6" borderId="83" xfId="0" applyFont="1" applyFill="1" applyBorder="1" applyAlignment="1" applyProtection="1">
      <alignment horizontal="center"/>
      <protection hidden="1"/>
    </xf>
    <xf numFmtId="0" fontId="0" fillId="0" borderId="0" xfId="0" applyAlignment="1" applyProtection="1">
      <alignment horizontal="center"/>
      <protection hidden="1"/>
    </xf>
    <xf numFmtId="0" fontId="23" fillId="6" borderId="0" xfId="0" applyFont="1" applyFill="1" applyBorder="1" applyAlignment="1" applyProtection="1">
      <alignment horizontal="center" vertical="center"/>
      <protection hidden="1"/>
    </xf>
    <xf numFmtId="0" fontId="20" fillId="0" borderId="25" xfId="0" applyFont="1" applyBorder="1" applyAlignment="1" applyProtection="1">
      <alignment horizontal="center"/>
      <protection hidden="1"/>
    </xf>
    <xf numFmtId="0" fontId="20" fillId="0" borderId="57" xfId="0" applyFont="1" applyBorder="1" applyAlignment="1" applyProtection="1">
      <alignment horizontal="center"/>
      <protection hidden="1"/>
    </xf>
    <xf numFmtId="0" fontId="20" fillId="0" borderId="26" xfId="0" applyFont="1" applyBorder="1" applyAlignment="1" applyProtection="1">
      <alignment horizontal="center"/>
      <protection hidden="1"/>
    </xf>
  </cellXfs>
  <cellStyles count="6">
    <cellStyle name="Normal 2" xfId="1" xr:uid="{00000000-0005-0000-0000-000002000000}"/>
    <cellStyle name="Normal 2 2" xfId="3" xr:uid="{00000000-0005-0000-0000-000003000000}"/>
    <cellStyle name="Normal 3" xfId="2" xr:uid="{00000000-0005-0000-0000-000004000000}"/>
    <cellStyle name="Normal 4" xfId="4" xr:uid="{00000000-0005-0000-0000-000005000000}"/>
    <cellStyle name="常规" xfId="0" builtinId="0"/>
    <cellStyle name="超链接" xfId="5" builtinId="8"/>
  </cellStyles>
  <dxfs count="6">
    <dxf>
      <fill>
        <patternFill>
          <bgColor rgb="FF00B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colors>
    <mruColors>
      <color rgb="FFFFFF99"/>
      <color rgb="FFF9B073"/>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38100</xdr:colOff>
          <xdr:row>10</xdr:row>
          <xdr:rowOff>19050</xdr:rowOff>
        </xdr:from>
        <xdr:to>
          <xdr:col>9</xdr:col>
          <xdr:colOff>0</xdr:colOff>
          <xdr:row>11</xdr:row>
          <xdr:rowOff>85725</xdr:rowOff>
        </xdr:to>
        <xdr:sp macro="" textlink="">
          <xdr:nvSpPr>
            <xdr:cNvPr id="3082" name="Button 10" hidden="1">
              <a:extLst>
                <a:ext uri="{63B3BB69-23CF-44E3-9099-C40C66FF867C}">
                  <a14:compatExt spid="_x0000_s3082"/>
                </a:ext>
                <a:ext uri="{FF2B5EF4-FFF2-40B4-BE49-F238E27FC236}">
                  <a16:creationId xmlns:a16="http://schemas.microsoft.com/office/drawing/2014/main" id="{00000000-0008-0000-0100-00000A0C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zh-CN" altLang="en-US" sz="1200" b="0" i="0" u="none" strike="noStrike" baseline="0">
                  <a:solidFill>
                    <a:srgbClr val="000000"/>
                  </a:solidFill>
                  <a:latin typeface="Arial"/>
                  <a:cs typeface="Arial"/>
                </a:rPr>
                <a:t>Save Configuration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38100</xdr:colOff>
          <xdr:row>15</xdr:row>
          <xdr:rowOff>19050</xdr:rowOff>
        </xdr:from>
        <xdr:to>
          <xdr:col>9</xdr:col>
          <xdr:colOff>0</xdr:colOff>
          <xdr:row>16</xdr:row>
          <xdr:rowOff>76200</xdr:rowOff>
        </xdr:to>
        <xdr:sp macro="" textlink="">
          <xdr:nvSpPr>
            <xdr:cNvPr id="3083" name="Button 11" hidden="1">
              <a:extLst>
                <a:ext uri="{63B3BB69-23CF-44E3-9099-C40C66FF867C}">
                  <a14:compatExt spid="_x0000_s3083"/>
                </a:ext>
                <a:ext uri="{FF2B5EF4-FFF2-40B4-BE49-F238E27FC236}">
                  <a16:creationId xmlns:a16="http://schemas.microsoft.com/office/drawing/2014/main" id="{00000000-0008-0000-0100-00000B0C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zh-CN" altLang="en-US" sz="1200" b="0" i="0" u="none" strike="noStrike" baseline="0">
                  <a:solidFill>
                    <a:srgbClr val="000000"/>
                  </a:solidFill>
                  <a:latin typeface="Arial"/>
                  <a:cs typeface="Arial"/>
                </a:rPr>
                <a:t>Load Configuration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6</xdr:col>
      <xdr:colOff>457200</xdr:colOff>
      <xdr:row>1</xdr:row>
      <xdr:rowOff>158750</xdr:rowOff>
    </xdr:from>
    <xdr:to>
      <xdr:col>13</xdr:col>
      <xdr:colOff>268802</xdr:colOff>
      <xdr:row>12</xdr:row>
      <xdr:rowOff>178316</xdr:rowOff>
    </xdr:to>
    <xdr:grpSp>
      <xdr:nvGrpSpPr>
        <xdr:cNvPr id="2" name="Group 1">
          <a:extLst>
            <a:ext uri="{FF2B5EF4-FFF2-40B4-BE49-F238E27FC236}">
              <a16:creationId xmlns:a16="http://schemas.microsoft.com/office/drawing/2014/main" id="{00000000-0008-0000-0400-000002000000}"/>
            </a:ext>
          </a:extLst>
        </xdr:cNvPr>
        <xdr:cNvGrpSpPr/>
      </xdr:nvGrpSpPr>
      <xdr:grpSpPr>
        <a:xfrm>
          <a:off x="4629150" y="330200"/>
          <a:ext cx="4364552" cy="1724541"/>
          <a:chOff x="1219200" y="1352550"/>
          <a:chExt cx="4078802" cy="1861066"/>
        </a:xfrm>
      </xdr:grpSpPr>
      <xdr:cxnSp macro="">
        <xdr:nvCxnSpPr>
          <xdr:cNvPr id="3" name="Elbow Connector 2">
            <a:extLst>
              <a:ext uri="{FF2B5EF4-FFF2-40B4-BE49-F238E27FC236}">
                <a16:creationId xmlns:a16="http://schemas.microsoft.com/office/drawing/2014/main" id="{00000000-0008-0000-0400-000003000000}"/>
              </a:ext>
            </a:extLst>
          </xdr:cNvPr>
          <xdr:cNvCxnSpPr/>
        </xdr:nvCxnSpPr>
        <xdr:spPr>
          <a:xfrm rot="10800000" flipV="1">
            <a:off x="1295400" y="1504950"/>
            <a:ext cx="1447800" cy="1143000"/>
          </a:xfrm>
          <a:prstGeom prst="bentConnector3">
            <a:avLst/>
          </a:prstGeom>
        </xdr:spPr>
        <xdr:style>
          <a:lnRef idx="1">
            <a:schemeClr val="accent1"/>
          </a:lnRef>
          <a:fillRef idx="0">
            <a:schemeClr val="accent1"/>
          </a:fillRef>
          <a:effectRef idx="0">
            <a:schemeClr val="accent1"/>
          </a:effectRef>
          <a:fontRef idx="minor">
            <a:schemeClr val="tx1"/>
          </a:fontRef>
        </xdr:style>
      </xdr:cxnSp>
      <xdr:cxnSp macro="">
        <xdr:nvCxnSpPr>
          <xdr:cNvPr id="4" name="Straight Connector 3">
            <a:extLst>
              <a:ext uri="{FF2B5EF4-FFF2-40B4-BE49-F238E27FC236}">
                <a16:creationId xmlns:a16="http://schemas.microsoft.com/office/drawing/2014/main" id="{00000000-0008-0000-0400-000004000000}"/>
              </a:ext>
            </a:extLst>
          </xdr:cNvPr>
          <xdr:cNvCxnSpPr/>
        </xdr:nvCxnSpPr>
        <xdr:spPr>
          <a:xfrm>
            <a:off x="1295399" y="3028950"/>
            <a:ext cx="3581401" cy="0"/>
          </a:xfrm>
          <a:prstGeom prst="line">
            <a:avLst/>
          </a:prstGeom>
        </xdr:spPr>
        <xdr:style>
          <a:lnRef idx="1">
            <a:schemeClr val="accent1"/>
          </a:lnRef>
          <a:fillRef idx="0">
            <a:schemeClr val="accent1"/>
          </a:fillRef>
          <a:effectRef idx="0">
            <a:schemeClr val="accent1"/>
          </a:effectRef>
          <a:fontRef idx="minor">
            <a:schemeClr val="tx1"/>
          </a:fontRef>
        </xdr:style>
      </xdr:cxnSp>
      <xdr:sp macro="" textlink="">
        <xdr:nvSpPr>
          <xdr:cNvPr id="5" name="TextBox 7">
            <a:extLst>
              <a:ext uri="{FF2B5EF4-FFF2-40B4-BE49-F238E27FC236}">
                <a16:creationId xmlns:a16="http://schemas.microsoft.com/office/drawing/2014/main" id="{00000000-0008-0000-0400-000005000000}"/>
              </a:ext>
            </a:extLst>
          </xdr:cNvPr>
          <xdr:cNvSpPr txBox="1"/>
        </xdr:nvSpPr>
        <xdr:spPr>
          <a:xfrm>
            <a:off x="2743200" y="1352550"/>
            <a:ext cx="2554802" cy="374141"/>
          </a:xfrm>
          <a:prstGeom prst="rect">
            <a:avLst/>
          </a:prstGeom>
          <a:no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a:t>VOH (VDDQ/VDDS_DDR) </a:t>
            </a:r>
          </a:p>
        </xdr:txBody>
      </xdr:sp>
      <xdr:sp macro="" textlink="">
        <xdr:nvSpPr>
          <xdr:cNvPr id="6" name="TextBox 8">
            <a:extLst>
              <a:ext uri="{FF2B5EF4-FFF2-40B4-BE49-F238E27FC236}">
                <a16:creationId xmlns:a16="http://schemas.microsoft.com/office/drawing/2014/main" id="{00000000-0008-0000-0400-000006000000}"/>
              </a:ext>
            </a:extLst>
          </xdr:cNvPr>
          <xdr:cNvSpPr txBox="1"/>
        </xdr:nvSpPr>
        <xdr:spPr>
          <a:xfrm>
            <a:off x="2803854" y="2844284"/>
            <a:ext cx="526363" cy="369332"/>
          </a:xfrm>
          <a:prstGeom prst="rect">
            <a:avLst/>
          </a:prstGeom>
          <a:no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a:t>VSS</a:t>
            </a:r>
          </a:p>
        </xdr:txBody>
      </xdr:sp>
      <xdr:sp macro="" textlink="">
        <xdr:nvSpPr>
          <xdr:cNvPr id="7" name="TextBox 9">
            <a:extLst>
              <a:ext uri="{FF2B5EF4-FFF2-40B4-BE49-F238E27FC236}">
                <a16:creationId xmlns:a16="http://schemas.microsoft.com/office/drawing/2014/main" id="{00000000-0008-0000-0400-000007000000}"/>
              </a:ext>
            </a:extLst>
          </xdr:cNvPr>
          <xdr:cNvSpPr txBox="1"/>
        </xdr:nvSpPr>
        <xdr:spPr>
          <a:xfrm>
            <a:off x="1219200" y="2571750"/>
            <a:ext cx="563167" cy="369332"/>
          </a:xfrm>
          <a:prstGeom prst="rect">
            <a:avLst/>
          </a:prstGeom>
          <a:no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a:t>VOL</a:t>
            </a:r>
          </a:p>
        </xdr:txBody>
      </xdr:sp>
    </xdr:grpSp>
    <xdr:clientData/>
  </xdr:twoCellAnchor>
  <xdr:twoCellAnchor>
    <xdr:from>
      <xdr:col>8</xdr:col>
      <xdr:colOff>400050</xdr:colOff>
      <xdr:row>2</xdr:row>
      <xdr:rowOff>102116</xdr:rowOff>
    </xdr:from>
    <xdr:to>
      <xdr:col>8</xdr:col>
      <xdr:colOff>412750</xdr:colOff>
      <xdr:row>9</xdr:row>
      <xdr:rowOff>12700</xdr:rowOff>
    </xdr:to>
    <xdr:cxnSp macro="">
      <xdr:nvCxnSpPr>
        <xdr:cNvPr id="8" name="Straight Arrow Connector 7">
          <a:extLst>
            <a:ext uri="{FF2B5EF4-FFF2-40B4-BE49-F238E27FC236}">
              <a16:creationId xmlns:a16="http://schemas.microsoft.com/office/drawing/2014/main" id="{00000000-0008-0000-0400-000008000000}"/>
            </a:ext>
          </a:extLst>
        </xdr:cNvPr>
        <xdr:cNvCxnSpPr/>
      </xdr:nvCxnSpPr>
      <xdr:spPr>
        <a:xfrm flipH="1">
          <a:off x="5276850" y="483116"/>
          <a:ext cx="12700" cy="1244084"/>
        </a:xfrm>
        <a:prstGeom prst="straightConnector1">
          <a:avLst/>
        </a:prstGeom>
        <a:ln>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539750</xdr:colOff>
      <xdr:row>5</xdr:row>
      <xdr:rowOff>130433</xdr:rowOff>
    </xdr:from>
    <xdr:to>
      <xdr:col>9</xdr:col>
      <xdr:colOff>177785</xdr:colOff>
      <xdr:row>5</xdr:row>
      <xdr:rowOff>130433</xdr:rowOff>
    </xdr:to>
    <xdr:cxnSp macro="">
      <xdr:nvCxnSpPr>
        <xdr:cNvPr id="9" name="Straight Connector 8">
          <a:extLst>
            <a:ext uri="{FF2B5EF4-FFF2-40B4-BE49-F238E27FC236}">
              <a16:creationId xmlns:a16="http://schemas.microsoft.com/office/drawing/2014/main" id="{00000000-0008-0000-0400-000009000000}"/>
            </a:ext>
          </a:extLst>
        </xdr:cNvPr>
        <xdr:cNvCxnSpPr/>
      </xdr:nvCxnSpPr>
      <xdr:spPr>
        <a:xfrm>
          <a:off x="4197350" y="1082933"/>
          <a:ext cx="1466835" cy="0"/>
        </a:xfrm>
        <a:prstGeom prst="line">
          <a:avLst/>
        </a:prstGeom>
        <a:ln>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577706</xdr:colOff>
      <xdr:row>4</xdr:row>
      <xdr:rowOff>168017</xdr:rowOff>
    </xdr:from>
    <xdr:to>
      <xdr:col>10</xdr:col>
      <xdr:colOff>582431</xdr:colOff>
      <xdr:row>6</xdr:row>
      <xdr:rowOff>169049</xdr:rowOff>
    </xdr:to>
    <xdr:sp macro="" textlink="">
      <xdr:nvSpPr>
        <xdr:cNvPr id="10" name="TextBox 15">
          <a:extLst>
            <a:ext uri="{FF2B5EF4-FFF2-40B4-BE49-F238E27FC236}">
              <a16:creationId xmlns:a16="http://schemas.microsoft.com/office/drawing/2014/main" id="{00000000-0008-0000-0400-00000A000000}"/>
            </a:ext>
          </a:extLst>
        </xdr:cNvPr>
        <xdr:cNvSpPr txBox="1"/>
      </xdr:nvSpPr>
      <xdr:spPr>
        <a:xfrm>
          <a:off x="5454506" y="930017"/>
          <a:ext cx="1223925" cy="382032"/>
        </a:xfrm>
        <a:prstGeom prst="rect">
          <a:avLst/>
        </a:prstGeom>
        <a:no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a:t>Vref (Ideal)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371475</xdr:colOff>
      <xdr:row>3</xdr:row>
      <xdr:rowOff>52072</xdr:rowOff>
    </xdr:from>
    <xdr:to>
      <xdr:col>15</xdr:col>
      <xdr:colOff>207394</xdr:colOff>
      <xdr:row>12</xdr:row>
      <xdr:rowOff>174508</xdr:rowOff>
    </xdr:to>
    <xdr:grpSp>
      <xdr:nvGrpSpPr>
        <xdr:cNvPr id="2" name="Group 1">
          <a:extLst>
            <a:ext uri="{FF2B5EF4-FFF2-40B4-BE49-F238E27FC236}">
              <a16:creationId xmlns:a16="http://schemas.microsoft.com/office/drawing/2014/main" id="{00000000-0008-0000-0500-000002000000}"/>
            </a:ext>
          </a:extLst>
        </xdr:cNvPr>
        <xdr:cNvGrpSpPr/>
      </xdr:nvGrpSpPr>
      <xdr:grpSpPr>
        <a:xfrm>
          <a:off x="5762625" y="566422"/>
          <a:ext cx="4388869" cy="1494036"/>
          <a:chOff x="772397" y="1617247"/>
          <a:chExt cx="4104403" cy="1596369"/>
        </a:xfrm>
      </xdr:grpSpPr>
      <xdr:cxnSp macro="">
        <xdr:nvCxnSpPr>
          <xdr:cNvPr id="3" name="Elbow Connector 2">
            <a:extLst>
              <a:ext uri="{FF2B5EF4-FFF2-40B4-BE49-F238E27FC236}">
                <a16:creationId xmlns:a16="http://schemas.microsoft.com/office/drawing/2014/main" id="{00000000-0008-0000-0500-000003000000}"/>
              </a:ext>
            </a:extLst>
          </xdr:cNvPr>
          <xdr:cNvCxnSpPr/>
        </xdr:nvCxnSpPr>
        <xdr:spPr>
          <a:xfrm rot="10800000" flipV="1">
            <a:off x="1302298" y="1846370"/>
            <a:ext cx="1447800" cy="1143000"/>
          </a:xfrm>
          <a:prstGeom prst="bentConnector3">
            <a:avLst/>
          </a:prstGeom>
        </xdr:spPr>
        <xdr:style>
          <a:lnRef idx="1">
            <a:schemeClr val="accent1"/>
          </a:lnRef>
          <a:fillRef idx="0">
            <a:schemeClr val="accent1"/>
          </a:fillRef>
          <a:effectRef idx="0">
            <a:schemeClr val="accent1"/>
          </a:effectRef>
          <a:fontRef idx="minor">
            <a:schemeClr val="tx1"/>
          </a:fontRef>
        </xdr:style>
      </xdr:cxnSp>
      <xdr:cxnSp macro="">
        <xdr:nvCxnSpPr>
          <xdr:cNvPr id="4" name="Straight Connector 3">
            <a:extLst>
              <a:ext uri="{FF2B5EF4-FFF2-40B4-BE49-F238E27FC236}">
                <a16:creationId xmlns:a16="http://schemas.microsoft.com/office/drawing/2014/main" id="{00000000-0008-0000-0500-000004000000}"/>
              </a:ext>
            </a:extLst>
          </xdr:cNvPr>
          <xdr:cNvCxnSpPr/>
        </xdr:nvCxnSpPr>
        <xdr:spPr>
          <a:xfrm>
            <a:off x="1295399" y="2990588"/>
            <a:ext cx="3581401" cy="0"/>
          </a:xfrm>
          <a:prstGeom prst="line">
            <a:avLst/>
          </a:prstGeom>
        </xdr:spPr>
        <xdr:style>
          <a:lnRef idx="1">
            <a:schemeClr val="accent1"/>
          </a:lnRef>
          <a:fillRef idx="0">
            <a:schemeClr val="accent1"/>
          </a:fillRef>
          <a:effectRef idx="0">
            <a:schemeClr val="accent1"/>
          </a:effectRef>
          <a:fontRef idx="minor">
            <a:schemeClr val="tx1"/>
          </a:fontRef>
        </xdr:style>
      </xdr:cxnSp>
      <xdr:sp macro="" textlink="">
        <xdr:nvSpPr>
          <xdr:cNvPr id="5" name="TextBox 7">
            <a:extLst>
              <a:ext uri="{FF2B5EF4-FFF2-40B4-BE49-F238E27FC236}">
                <a16:creationId xmlns:a16="http://schemas.microsoft.com/office/drawing/2014/main" id="{00000000-0008-0000-0500-000005000000}"/>
              </a:ext>
            </a:extLst>
          </xdr:cNvPr>
          <xdr:cNvSpPr txBox="1"/>
        </xdr:nvSpPr>
        <xdr:spPr>
          <a:xfrm>
            <a:off x="2681116" y="1617247"/>
            <a:ext cx="624824" cy="374141"/>
          </a:xfrm>
          <a:prstGeom prst="rect">
            <a:avLst/>
          </a:prstGeom>
          <a:no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a:t>VOH</a:t>
            </a:r>
          </a:p>
        </xdr:txBody>
      </xdr:sp>
      <xdr:sp macro="" textlink="">
        <xdr:nvSpPr>
          <xdr:cNvPr id="6" name="TextBox 8">
            <a:extLst>
              <a:ext uri="{FF2B5EF4-FFF2-40B4-BE49-F238E27FC236}">
                <a16:creationId xmlns:a16="http://schemas.microsoft.com/office/drawing/2014/main" id="{00000000-0008-0000-0500-000006000000}"/>
              </a:ext>
            </a:extLst>
          </xdr:cNvPr>
          <xdr:cNvSpPr txBox="1"/>
        </xdr:nvSpPr>
        <xdr:spPr>
          <a:xfrm>
            <a:off x="2803854" y="2844284"/>
            <a:ext cx="526363" cy="369332"/>
          </a:xfrm>
          <a:prstGeom prst="rect">
            <a:avLst/>
          </a:prstGeom>
          <a:no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a:t>VSS</a:t>
            </a:r>
          </a:p>
        </xdr:txBody>
      </xdr:sp>
      <xdr:sp macro="" textlink="">
        <xdr:nvSpPr>
          <xdr:cNvPr id="7" name="TextBox 9">
            <a:extLst>
              <a:ext uri="{FF2B5EF4-FFF2-40B4-BE49-F238E27FC236}">
                <a16:creationId xmlns:a16="http://schemas.microsoft.com/office/drawing/2014/main" id="{00000000-0008-0000-0500-000007000000}"/>
              </a:ext>
            </a:extLst>
          </xdr:cNvPr>
          <xdr:cNvSpPr txBox="1"/>
        </xdr:nvSpPr>
        <xdr:spPr>
          <a:xfrm>
            <a:off x="772397" y="2583259"/>
            <a:ext cx="1041012" cy="325143"/>
          </a:xfrm>
          <a:prstGeom prst="rect">
            <a:avLst/>
          </a:prstGeom>
          <a:no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a:t>VOL=VSS</a:t>
            </a:r>
          </a:p>
        </xdr:txBody>
      </xdr:sp>
    </xdr:grpSp>
    <xdr:clientData/>
  </xdr:twoCellAnchor>
  <xdr:twoCellAnchor>
    <xdr:from>
      <xdr:col>11</xdr:col>
      <xdr:colOff>339090</xdr:colOff>
      <xdr:row>4</xdr:row>
      <xdr:rowOff>86876</xdr:rowOff>
    </xdr:from>
    <xdr:to>
      <xdr:col>11</xdr:col>
      <xdr:colOff>351790</xdr:colOff>
      <xdr:row>11</xdr:row>
      <xdr:rowOff>133350</xdr:rowOff>
    </xdr:to>
    <xdr:cxnSp macro="">
      <xdr:nvCxnSpPr>
        <xdr:cNvPr id="8" name="Straight Arrow Connector 7">
          <a:extLst>
            <a:ext uri="{FF2B5EF4-FFF2-40B4-BE49-F238E27FC236}">
              <a16:creationId xmlns:a16="http://schemas.microsoft.com/office/drawing/2014/main" id="{00000000-0008-0000-0500-000008000000}"/>
            </a:ext>
          </a:extLst>
        </xdr:cNvPr>
        <xdr:cNvCxnSpPr/>
      </xdr:nvCxnSpPr>
      <xdr:spPr>
        <a:xfrm flipH="1">
          <a:off x="7776210" y="818396"/>
          <a:ext cx="12700" cy="1143754"/>
        </a:xfrm>
        <a:prstGeom prst="straightConnector1">
          <a:avLst/>
        </a:prstGeom>
        <a:ln>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147320</xdr:colOff>
      <xdr:row>7</xdr:row>
      <xdr:rowOff>103763</xdr:rowOff>
    </xdr:from>
    <xdr:to>
      <xdr:col>12</xdr:col>
      <xdr:colOff>120635</xdr:colOff>
      <xdr:row>7</xdr:row>
      <xdr:rowOff>103763</xdr:rowOff>
    </xdr:to>
    <xdr:cxnSp macro="">
      <xdr:nvCxnSpPr>
        <xdr:cNvPr id="9" name="Straight Connector 8">
          <a:extLst>
            <a:ext uri="{FF2B5EF4-FFF2-40B4-BE49-F238E27FC236}">
              <a16:creationId xmlns:a16="http://schemas.microsoft.com/office/drawing/2014/main" id="{00000000-0008-0000-0500-000009000000}"/>
            </a:ext>
          </a:extLst>
        </xdr:cNvPr>
        <xdr:cNvCxnSpPr/>
      </xdr:nvCxnSpPr>
      <xdr:spPr>
        <a:xfrm>
          <a:off x="6955790" y="1383923"/>
          <a:ext cx="1523985" cy="0"/>
        </a:xfrm>
        <a:prstGeom prst="line">
          <a:avLst/>
        </a:prstGeom>
        <a:ln>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806306</xdr:colOff>
      <xdr:row>5</xdr:row>
      <xdr:rowOff>175637</xdr:rowOff>
    </xdr:from>
    <xdr:to>
      <xdr:col>13</xdr:col>
      <xdr:colOff>517661</xdr:colOff>
      <xdr:row>7</xdr:row>
      <xdr:rowOff>176669</xdr:rowOff>
    </xdr:to>
    <xdr:sp macro="" textlink="">
      <xdr:nvSpPr>
        <xdr:cNvPr id="10" name="TextBox 15">
          <a:extLst>
            <a:ext uri="{FF2B5EF4-FFF2-40B4-BE49-F238E27FC236}">
              <a16:creationId xmlns:a16="http://schemas.microsoft.com/office/drawing/2014/main" id="{00000000-0008-0000-0500-00000A000000}"/>
            </a:ext>
          </a:extLst>
        </xdr:cNvPr>
        <xdr:cNvSpPr txBox="1"/>
      </xdr:nvSpPr>
      <xdr:spPr>
        <a:xfrm>
          <a:off x="8243426" y="1090037"/>
          <a:ext cx="1262025" cy="366792"/>
        </a:xfrm>
        <a:prstGeom prst="rect">
          <a:avLst/>
        </a:prstGeom>
        <a:noFill/>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a:t>Vref (Ideal)</a:t>
          </a:r>
        </a:p>
      </xdr:txBody>
    </xdr:sp>
    <xdr:clientData/>
  </xdr:twoCellAnchor>
  <xdr:twoCellAnchor>
    <xdr:from>
      <xdr:col>8</xdr:col>
      <xdr:colOff>491489</xdr:colOff>
      <xdr:row>2</xdr:row>
      <xdr:rowOff>135891</xdr:rowOff>
    </xdr:from>
    <xdr:to>
      <xdr:col>14</xdr:col>
      <xdr:colOff>382302</xdr:colOff>
      <xdr:row>2</xdr:row>
      <xdr:rowOff>135891</xdr:rowOff>
    </xdr:to>
    <xdr:cxnSp macro="">
      <xdr:nvCxnSpPr>
        <xdr:cNvPr id="12" name="Straight Connector 11">
          <a:extLst>
            <a:ext uri="{FF2B5EF4-FFF2-40B4-BE49-F238E27FC236}">
              <a16:creationId xmlns:a16="http://schemas.microsoft.com/office/drawing/2014/main" id="{00000000-0008-0000-0500-00000C000000}"/>
            </a:ext>
          </a:extLst>
        </xdr:cNvPr>
        <xdr:cNvCxnSpPr/>
      </xdr:nvCxnSpPr>
      <xdr:spPr>
        <a:xfrm>
          <a:off x="6042659" y="501651"/>
          <a:ext cx="395608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144780</xdr:colOff>
      <xdr:row>1</xdr:row>
      <xdr:rowOff>41910</xdr:rowOff>
    </xdr:from>
    <xdr:to>
      <xdr:col>10</xdr:col>
      <xdr:colOff>373380</xdr:colOff>
      <xdr:row>3</xdr:row>
      <xdr:rowOff>42962</xdr:rowOff>
    </xdr:to>
    <xdr:sp macro="" textlink="">
      <xdr:nvSpPr>
        <xdr:cNvPr id="13" name="TextBox 8">
          <a:extLst>
            <a:ext uri="{FF2B5EF4-FFF2-40B4-BE49-F238E27FC236}">
              <a16:creationId xmlns:a16="http://schemas.microsoft.com/office/drawing/2014/main" id="{00000000-0008-0000-0500-00000D000000}"/>
            </a:ext>
          </a:extLst>
        </xdr:cNvPr>
        <xdr:cNvSpPr txBox="1"/>
      </xdr:nvSpPr>
      <xdr:spPr>
        <a:xfrm>
          <a:off x="6324600" y="224790"/>
          <a:ext cx="857250" cy="366812"/>
        </a:xfrm>
        <a:prstGeom prst="rect">
          <a:avLst/>
        </a:prstGeom>
        <a:noFill/>
      </xdr:spPr>
      <xdr:txBody>
        <a:bodyPr wrap="square" rtlCol="0">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a:t>VDDQ</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400050</xdr:colOff>
          <xdr:row>2</xdr:row>
          <xdr:rowOff>28575</xdr:rowOff>
        </xdr:from>
        <xdr:to>
          <xdr:col>3</xdr:col>
          <xdr:colOff>1638300</xdr:colOff>
          <xdr:row>3</xdr:row>
          <xdr:rowOff>85725</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700-0000012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zh-CN" altLang="en-US" sz="1200" b="0" i="0" u="none" strike="noStrike" baseline="0">
                  <a:solidFill>
                    <a:srgbClr val="000000"/>
                  </a:solidFill>
                  <a:latin typeface="Arial"/>
                  <a:cs typeface="Arial"/>
                </a:rPr>
                <a:t>Export GEL</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419100</xdr:colOff>
          <xdr:row>2</xdr:row>
          <xdr:rowOff>19050</xdr:rowOff>
        </xdr:from>
        <xdr:to>
          <xdr:col>4</xdr:col>
          <xdr:colOff>1619250</xdr:colOff>
          <xdr:row>3</xdr:row>
          <xdr:rowOff>85725</xdr:rowOff>
        </xdr:to>
        <xdr:sp macro="" textlink="">
          <xdr:nvSpPr>
            <xdr:cNvPr id="15361" name="Button 1" hidden="1">
              <a:extLst>
                <a:ext uri="{63B3BB69-23CF-44E3-9099-C40C66FF867C}">
                  <a14:compatExt spid="_x0000_s15361"/>
                </a:ext>
                <a:ext uri="{FF2B5EF4-FFF2-40B4-BE49-F238E27FC236}">
                  <a16:creationId xmlns:a16="http://schemas.microsoft.com/office/drawing/2014/main" id="{00000000-0008-0000-0800-0000013C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zh-CN" altLang="en-US" sz="1200" b="0" i="0" u="none" strike="noStrike" baseline="0">
                  <a:solidFill>
                    <a:srgbClr val="000000"/>
                  </a:solidFill>
                  <a:latin typeface="Arial"/>
                  <a:cs typeface="Arial"/>
                </a:rPr>
                <a:t>Export uboot .dtsi</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419100</xdr:colOff>
          <xdr:row>2</xdr:row>
          <xdr:rowOff>19050</xdr:rowOff>
        </xdr:from>
        <xdr:to>
          <xdr:col>4</xdr:col>
          <xdr:colOff>1619250</xdr:colOff>
          <xdr:row>3</xdr:row>
          <xdr:rowOff>85725</xdr:rowOff>
        </xdr:to>
        <xdr:sp macro="" textlink="">
          <xdr:nvSpPr>
            <xdr:cNvPr id="16385" name="Button 1" descr="Export RTOS .h" hidden="1">
              <a:extLst>
                <a:ext uri="{63B3BB69-23CF-44E3-9099-C40C66FF867C}">
                  <a14:compatExt spid="_x0000_s16385"/>
                </a:ext>
                <a:ext uri="{FF2B5EF4-FFF2-40B4-BE49-F238E27FC236}">
                  <a16:creationId xmlns:a16="http://schemas.microsoft.com/office/drawing/2014/main" id="{00000000-0008-0000-0900-00000140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zh-CN" altLang="en-US" sz="1200" b="0" i="0" u="none" strike="noStrike" baseline="0">
                  <a:solidFill>
                    <a:srgbClr val="000000"/>
                  </a:solidFill>
                  <a:latin typeface="Arial"/>
                  <a:cs typeface="Arial"/>
                </a:rPr>
                <a:t>Export RTOS .h header file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i/AvatarEmifTools/docs/Avatar_EMIF_RegisterConfig.xlsm.bku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on History"/>
      <sheetName val="Title-README"/>
      <sheetName val="Step1-SystemDetails"/>
      <sheetName val="Step2-BoardDetails"/>
      <sheetName val="Step3-DDRTimings"/>
      <sheetName val="Register Values"/>
      <sheetName val="EMIF_Configurations"/>
      <sheetName val="Register Values (GEL)"/>
      <sheetName val="DynamicUserOptions"/>
      <sheetName val="LOCK"/>
      <sheetName val="UserConfig"/>
    </sheetNames>
    <sheetDataSet>
      <sheetData sheetId="0" refreshError="1"/>
      <sheetData sheetId="1" refreshError="1"/>
      <sheetData sheetId="2">
        <row r="17">
          <cell r="F17" t="str">
            <v>TI_EVM_revB</v>
          </cell>
        </row>
        <row r="18">
          <cell r="F18" t="str">
            <v>DRA72x</v>
          </cell>
        </row>
        <row r="19">
          <cell r="F19">
            <v>20</v>
          </cell>
        </row>
        <row r="20">
          <cell r="F20">
            <v>1</v>
          </cell>
        </row>
        <row r="21">
          <cell r="F21" t="str">
            <v>DDR3/L</v>
          </cell>
        </row>
        <row r="22">
          <cell r="F22">
            <v>400</v>
          </cell>
        </row>
        <row r="23">
          <cell r="F23">
            <v>32</v>
          </cell>
        </row>
        <row r="24">
          <cell r="F24">
            <v>1</v>
          </cell>
        </row>
        <row r="25">
          <cell r="F25" t="str">
            <v>H/W</v>
          </cell>
        </row>
        <row r="26">
          <cell r="F26" t="str">
            <v>No</v>
          </cell>
        </row>
        <row r="31">
          <cell r="F31">
            <v>1066</v>
          </cell>
        </row>
        <row r="32">
          <cell r="F32">
            <v>1</v>
          </cell>
        </row>
        <row r="33">
          <cell r="F33">
            <v>8</v>
          </cell>
        </row>
        <row r="34">
          <cell r="F34">
            <v>6</v>
          </cell>
        </row>
        <row r="39">
          <cell r="F39" t="str">
            <v>RZQ/4</v>
          </cell>
        </row>
        <row r="40">
          <cell r="F40" t="str">
            <v>Disabled</v>
          </cell>
        </row>
        <row r="41">
          <cell r="F41" t="str">
            <v>RZQ/7</v>
          </cell>
        </row>
        <row r="47">
          <cell r="F47">
            <v>60</v>
          </cell>
        </row>
        <row r="48">
          <cell r="F48" t="str">
            <v>Fastest: SR[2:0] = 0b000</v>
          </cell>
        </row>
        <row r="49">
          <cell r="F49" t="str">
            <v>Fastest: SR[2:0] = 0b000</v>
          </cell>
        </row>
        <row r="50">
          <cell r="F50">
            <v>40</v>
          </cell>
        </row>
        <row r="51">
          <cell r="F51">
            <v>48</v>
          </cell>
        </row>
      </sheetData>
      <sheetData sheetId="3">
        <row r="28">
          <cell r="E28">
            <v>837.28</v>
          </cell>
          <cell r="F28">
            <v>1779.14</v>
          </cell>
          <cell r="G28">
            <v>933.64</v>
          </cell>
          <cell r="H28">
            <v>1779.14</v>
          </cell>
          <cell r="I28">
            <v>837.28</v>
          </cell>
          <cell r="J28">
            <v>2417.08</v>
          </cell>
          <cell r="K28">
            <v>933.64</v>
          </cell>
          <cell r="L28">
            <v>2417.08</v>
          </cell>
          <cell r="M28">
            <v>837.28</v>
          </cell>
          <cell r="N28">
            <v>3053.05</v>
          </cell>
        </row>
        <row r="29">
          <cell r="E29">
            <v>1442.88</v>
          </cell>
          <cell r="F29">
            <v>0</v>
          </cell>
          <cell r="G29">
            <v>1655.81</v>
          </cell>
          <cell r="H29">
            <v>0</v>
          </cell>
          <cell r="I29">
            <v>1417.04</v>
          </cell>
          <cell r="J29">
            <v>0</v>
          </cell>
          <cell r="K29">
            <v>1348.98</v>
          </cell>
          <cell r="L29">
            <v>0</v>
          </cell>
          <cell r="M29">
            <v>1542.24</v>
          </cell>
          <cell r="N29">
            <v>0</v>
          </cell>
        </row>
      </sheetData>
      <sheetData sheetId="4">
        <row r="25">
          <cell r="F25">
            <v>6</v>
          </cell>
        </row>
        <row r="26">
          <cell r="F26">
            <v>5</v>
          </cell>
        </row>
        <row r="27">
          <cell r="G27">
            <v>13.5</v>
          </cell>
        </row>
        <row r="28">
          <cell r="G28">
            <v>13.5</v>
          </cell>
        </row>
        <row r="29">
          <cell r="G29">
            <v>15</v>
          </cell>
        </row>
        <row r="30">
          <cell r="G30">
            <v>36</v>
          </cell>
        </row>
        <row r="31">
          <cell r="G31">
            <v>49.5</v>
          </cell>
        </row>
        <row r="32">
          <cell r="F32">
            <v>4</v>
          </cell>
          <cell r="G32">
            <v>6</v>
          </cell>
        </row>
        <row r="33">
          <cell r="F33">
            <v>4</v>
          </cell>
          <cell r="G33">
            <v>7.5</v>
          </cell>
        </row>
        <row r="34">
          <cell r="F34">
            <v>3</v>
          </cell>
          <cell r="G34">
            <v>6</v>
          </cell>
        </row>
        <row r="35">
          <cell r="F35">
            <v>5</v>
          </cell>
          <cell r="G35">
            <v>170</v>
          </cell>
        </row>
        <row r="36">
          <cell r="F36">
            <v>512</v>
          </cell>
        </row>
        <row r="37">
          <cell r="F37">
            <v>4</v>
          </cell>
          <cell r="G37">
            <v>7.5</v>
          </cell>
        </row>
        <row r="38">
          <cell r="F38">
            <v>3</v>
          </cell>
          <cell r="G38">
            <v>5.625</v>
          </cell>
        </row>
        <row r="39">
          <cell r="F39">
            <v>5</v>
          </cell>
        </row>
        <row r="40">
          <cell r="F40">
            <v>64</v>
          </cell>
        </row>
        <row r="41">
          <cell r="G41">
            <v>160</v>
          </cell>
        </row>
        <row r="42">
          <cell r="G42">
            <v>70200</v>
          </cell>
        </row>
        <row r="43">
          <cell r="G43">
            <v>7800</v>
          </cell>
        </row>
        <row r="44">
          <cell r="G44">
            <v>30</v>
          </cell>
        </row>
      </sheetData>
      <sheetData sheetId="5">
        <row r="83">
          <cell r="C83" t="str">
            <v xml:space="preserve">    ,</v>
          </cell>
        </row>
        <row r="122">
          <cell r="C122" t="str">
            <v/>
          </cell>
        </row>
      </sheetData>
      <sheetData sheetId="6" refreshError="1"/>
      <sheetData sheetId="7" refreshError="1"/>
      <sheetData sheetId="8">
        <row r="6">
          <cell r="B6" t="str">
            <v>AM571x</v>
          </cell>
          <cell r="C6" t="str">
            <v>DDR3/L</v>
          </cell>
          <cell r="D6">
            <v>1</v>
          </cell>
          <cell r="E6">
            <v>1</v>
          </cell>
          <cell r="F6" t="str">
            <v>S/W</v>
          </cell>
          <cell r="G6" t="str">
            <v>Yes</v>
          </cell>
          <cell r="H6">
            <v>303</v>
          </cell>
          <cell r="I6">
            <v>667</v>
          </cell>
          <cell r="J6">
            <v>800</v>
          </cell>
          <cell r="K6">
            <v>8</v>
          </cell>
          <cell r="L6">
            <v>6</v>
          </cell>
          <cell r="M6">
            <v>0.5</v>
          </cell>
          <cell r="N6" t="str">
            <v>Disabled</v>
          </cell>
          <cell r="O6" t="str">
            <v>Disabled</v>
          </cell>
          <cell r="P6" t="str">
            <v>RZQ/6</v>
          </cell>
          <cell r="Q6" t="str">
            <v>Fastest: SR[2:0] = 0b000</v>
          </cell>
          <cell r="V6" t="str">
            <v xml:space="preserve">AM571x, </v>
          </cell>
        </row>
        <row r="7">
          <cell r="B7" t="str">
            <v>AM572x</v>
          </cell>
          <cell r="C7" t="str">
            <v/>
          </cell>
          <cell r="D7" t="str">
            <v/>
          </cell>
          <cell r="E7" t="str">
            <v/>
          </cell>
          <cell r="F7" t="str">
            <v>H/W</v>
          </cell>
          <cell r="G7" t="str">
            <v>No</v>
          </cell>
          <cell r="J7">
            <v>1066</v>
          </cell>
          <cell r="K7">
            <v>16</v>
          </cell>
          <cell r="L7">
            <v>7</v>
          </cell>
          <cell r="M7">
            <v>1</v>
          </cell>
          <cell r="N7" t="str">
            <v>RZQ/4</v>
          </cell>
          <cell r="O7" t="str">
            <v>RZQ/4</v>
          </cell>
          <cell r="P7" t="str">
            <v>RZQ/7</v>
          </cell>
          <cell r="Q7" t="str">
            <v>SR[2:0] = 0b001</v>
          </cell>
          <cell r="V7" t="str">
            <v xml:space="preserve">AM572x, </v>
          </cell>
        </row>
        <row r="8">
          <cell r="B8" t="str">
            <v>DRA72x</v>
          </cell>
          <cell r="C8" t="str">
            <v/>
          </cell>
          <cell r="D8" t="str">
            <v/>
          </cell>
          <cell r="E8" t="str">
            <v/>
          </cell>
          <cell r="F8" t="str">
            <v/>
          </cell>
          <cell r="G8" t="str">
            <v/>
          </cell>
          <cell r="J8">
            <v>1333</v>
          </cell>
          <cell r="K8" t="str">
            <v/>
          </cell>
          <cell r="L8">
            <v>8</v>
          </cell>
          <cell r="M8">
            <v>2</v>
          </cell>
          <cell r="N8" t="str">
            <v>RZQ/2</v>
          </cell>
          <cell r="O8" t="str">
            <v>RZQ/2</v>
          </cell>
          <cell r="P8" t="str">
            <v/>
          </cell>
          <cell r="Q8" t="str">
            <v>SR[2:0] = 0b010</v>
          </cell>
          <cell r="V8" t="str">
            <v xml:space="preserve">DRA72x, </v>
          </cell>
        </row>
        <row r="9">
          <cell r="B9" t="str">
            <v>DRA74x</v>
          </cell>
          <cell r="C9" t="str">
            <v/>
          </cell>
          <cell r="D9" t="str">
            <v/>
          </cell>
          <cell r="E9" t="str">
            <v/>
          </cell>
          <cell r="F9" t="str">
            <v/>
          </cell>
          <cell r="G9" t="str">
            <v/>
          </cell>
          <cell r="J9">
            <v>1600</v>
          </cell>
          <cell r="K9" t="str">
            <v/>
          </cell>
          <cell r="L9" t="str">
            <v/>
          </cell>
          <cell r="M9">
            <v>4</v>
          </cell>
          <cell r="N9" t="str">
            <v>RZQ/6</v>
          </cell>
          <cell r="O9" t="str">
            <v/>
          </cell>
          <cell r="P9" t="str">
            <v/>
          </cell>
          <cell r="Q9" t="str">
            <v>SR[2:0] = 0b011</v>
          </cell>
          <cell r="V9" t="str">
            <v xml:space="preserve">DRA74x, </v>
          </cell>
        </row>
        <row r="10">
          <cell r="B10" t="str">
            <v>DRA75x</v>
          </cell>
          <cell r="C10" t="str">
            <v/>
          </cell>
          <cell r="D10" t="str">
            <v/>
          </cell>
          <cell r="E10" t="str">
            <v/>
          </cell>
          <cell r="F10" t="str">
            <v/>
          </cell>
          <cell r="G10" t="str">
            <v/>
          </cell>
          <cell r="J10">
            <v>1866</v>
          </cell>
          <cell r="K10" t="str">
            <v/>
          </cell>
          <cell r="L10" t="str">
            <v/>
          </cell>
          <cell r="M10">
            <v>8</v>
          </cell>
          <cell r="N10" t="str">
            <v>RZQ/12</v>
          </cell>
          <cell r="O10" t="str">
            <v/>
          </cell>
          <cell r="P10" t="str">
            <v/>
          </cell>
          <cell r="Q10" t="str">
            <v>SR[2:0] = 0b100</v>
          </cell>
          <cell r="V10" t="str">
            <v xml:space="preserve">DRA75x, </v>
          </cell>
        </row>
        <row r="11">
          <cell r="B11" t="str">
            <v>TDA2Ex</v>
          </cell>
          <cell r="C11" t="str">
            <v/>
          </cell>
          <cell r="D11" t="str">
            <v/>
          </cell>
          <cell r="E11" t="str">
            <v/>
          </cell>
          <cell r="F11" t="str">
            <v/>
          </cell>
          <cell r="G11" t="str">
            <v/>
          </cell>
          <cell r="J11">
            <v>2133</v>
          </cell>
          <cell r="K11" t="str">
            <v/>
          </cell>
          <cell r="L11" t="str">
            <v/>
          </cell>
          <cell r="M11" t="str">
            <v/>
          </cell>
          <cell r="N11" t="str">
            <v>RZQ/8</v>
          </cell>
          <cell r="O11" t="str">
            <v/>
          </cell>
          <cell r="P11" t="str">
            <v/>
          </cell>
          <cell r="Q11" t="str">
            <v>SR[2:0] = 0b101</v>
          </cell>
          <cell r="V11" t="str">
            <v xml:space="preserve">TDA2Ex, </v>
          </cell>
        </row>
        <row r="12">
          <cell r="B12" t="str">
            <v>TDA2x</v>
          </cell>
          <cell r="C12" t="str">
            <v/>
          </cell>
          <cell r="D12" t="str">
            <v/>
          </cell>
          <cell r="E12" t="str">
            <v/>
          </cell>
          <cell r="F12" t="str">
            <v/>
          </cell>
          <cell r="G12" t="str">
            <v/>
          </cell>
          <cell r="J12" t="str">
            <v/>
          </cell>
          <cell r="K12" t="str">
            <v/>
          </cell>
          <cell r="L12" t="str">
            <v/>
          </cell>
          <cell r="M12" t="str">
            <v/>
          </cell>
          <cell r="N12" t="str">
            <v/>
          </cell>
          <cell r="O12" t="str">
            <v/>
          </cell>
          <cell r="P12" t="str">
            <v/>
          </cell>
          <cell r="Q12" t="str">
            <v>SR[2:0] = 0b110</v>
          </cell>
          <cell r="V12" t="str">
            <v xml:space="preserve">TDA2x, </v>
          </cell>
        </row>
        <row r="13">
          <cell r="B13" t="str">
            <v>TDA3x</v>
          </cell>
          <cell r="C13" t="str">
            <v/>
          </cell>
          <cell r="D13" t="str">
            <v/>
          </cell>
          <cell r="E13" t="str">
            <v/>
          </cell>
          <cell r="F13" t="str">
            <v/>
          </cell>
          <cell r="G13" t="str">
            <v/>
          </cell>
          <cell r="J13" t="str">
            <v/>
          </cell>
          <cell r="K13" t="str">
            <v/>
          </cell>
          <cell r="L13" t="str">
            <v/>
          </cell>
          <cell r="M13" t="str">
            <v/>
          </cell>
          <cell r="N13" t="str">
            <v/>
          </cell>
          <cell r="O13" t="str">
            <v/>
          </cell>
          <cell r="P13" t="str">
            <v/>
          </cell>
          <cell r="Q13" t="str">
            <v>Slowest: SR[2:0] = 0b111</v>
          </cell>
          <cell r="V13" t="str">
            <v>TDA3x</v>
          </cell>
        </row>
        <row r="14">
          <cell r="B14" t="str">
            <v/>
          </cell>
          <cell r="C14" t="str">
            <v/>
          </cell>
          <cell r="D14" t="str">
            <v/>
          </cell>
          <cell r="E14" t="str">
            <v/>
          </cell>
          <cell r="F14" t="str">
            <v/>
          </cell>
          <cell r="G14" t="str">
            <v/>
          </cell>
          <cell r="J14" t="str">
            <v/>
          </cell>
          <cell r="K14" t="str">
            <v/>
          </cell>
          <cell r="L14" t="str">
            <v/>
          </cell>
          <cell r="M14" t="str">
            <v/>
          </cell>
          <cell r="N14" t="str">
            <v/>
          </cell>
          <cell r="O14" t="str">
            <v/>
          </cell>
          <cell r="P14" t="str">
            <v/>
          </cell>
          <cell r="Q14" t="str">
            <v/>
          </cell>
          <cell r="V14" t="str">
            <v/>
          </cell>
        </row>
        <row r="15">
          <cell r="B15" t="str">
            <v/>
          </cell>
          <cell r="C15" t="str">
            <v/>
          </cell>
          <cell r="D15" t="str">
            <v/>
          </cell>
          <cell r="E15" t="str">
            <v/>
          </cell>
          <cell r="F15" t="str">
            <v/>
          </cell>
          <cell r="G15" t="str">
            <v/>
          </cell>
          <cell r="J15" t="str">
            <v/>
          </cell>
          <cell r="K15" t="str">
            <v/>
          </cell>
          <cell r="L15" t="str">
            <v/>
          </cell>
          <cell r="M15" t="str">
            <v/>
          </cell>
          <cell r="N15" t="str">
            <v/>
          </cell>
          <cell r="O15" t="str">
            <v/>
          </cell>
          <cell r="P15" t="str">
            <v/>
          </cell>
          <cell r="Q15" t="str">
            <v/>
          </cell>
          <cell r="V15" t="str">
            <v/>
          </cell>
        </row>
        <row r="16">
          <cell r="B16" t="str">
            <v/>
          </cell>
          <cell r="C16" t="str">
            <v/>
          </cell>
          <cell r="D16" t="str">
            <v/>
          </cell>
          <cell r="E16" t="str">
            <v/>
          </cell>
          <cell r="F16" t="str">
            <v/>
          </cell>
          <cell r="G16" t="str">
            <v/>
          </cell>
          <cell r="J16" t="str">
            <v/>
          </cell>
          <cell r="K16" t="str">
            <v/>
          </cell>
          <cell r="L16" t="str">
            <v/>
          </cell>
          <cell r="M16" t="str">
            <v/>
          </cell>
          <cell r="N16" t="str">
            <v/>
          </cell>
          <cell r="O16" t="str">
            <v/>
          </cell>
          <cell r="P16" t="str">
            <v/>
          </cell>
          <cell r="Q16" t="str">
            <v/>
          </cell>
          <cell r="V16" t="str">
            <v/>
          </cell>
        </row>
        <row r="17">
          <cell r="B17" t="str">
            <v/>
          </cell>
          <cell r="C17" t="str">
            <v/>
          </cell>
          <cell r="D17" t="str">
            <v/>
          </cell>
          <cell r="E17" t="str">
            <v/>
          </cell>
          <cell r="F17" t="str">
            <v/>
          </cell>
          <cell r="G17" t="str">
            <v/>
          </cell>
          <cell r="J17" t="str">
            <v/>
          </cell>
          <cell r="K17" t="str">
            <v/>
          </cell>
          <cell r="L17" t="str">
            <v/>
          </cell>
          <cell r="M17" t="str">
            <v/>
          </cell>
          <cell r="N17" t="str">
            <v/>
          </cell>
          <cell r="O17" t="str">
            <v/>
          </cell>
          <cell r="P17" t="str">
            <v/>
          </cell>
          <cell r="Q17" t="str">
            <v/>
          </cell>
          <cell r="V17" t="str">
            <v/>
          </cell>
        </row>
        <row r="18">
          <cell r="B18" t="str">
            <v/>
          </cell>
          <cell r="C18" t="str">
            <v/>
          </cell>
          <cell r="D18" t="str">
            <v/>
          </cell>
          <cell r="E18" t="str">
            <v/>
          </cell>
          <cell r="F18" t="str">
            <v/>
          </cell>
          <cell r="G18" t="str">
            <v/>
          </cell>
          <cell r="J18" t="str">
            <v/>
          </cell>
          <cell r="K18" t="str">
            <v/>
          </cell>
          <cell r="L18" t="str">
            <v/>
          </cell>
          <cell r="M18" t="str">
            <v/>
          </cell>
          <cell r="N18" t="str">
            <v/>
          </cell>
          <cell r="O18" t="str">
            <v/>
          </cell>
          <cell r="P18" t="str">
            <v/>
          </cell>
          <cell r="Q18" t="str">
            <v/>
          </cell>
          <cell r="V18" t="str">
            <v/>
          </cell>
        </row>
        <row r="19">
          <cell r="B19" t="str">
            <v/>
          </cell>
          <cell r="C19" t="str">
            <v/>
          </cell>
          <cell r="D19" t="str">
            <v/>
          </cell>
          <cell r="E19" t="str">
            <v/>
          </cell>
          <cell r="F19" t="str">
            <v/>
          </cell>
          <cell r="G19" t="str">
            <v/>
          </cell>
          <cell r="J19" t="str">
            <v/>
          </cell>
          <cell r="K19" t="str">
            <v/>
          </cell>
          <cell r="L19" t="str">
            <v/>
          </cell>
          <cell r="M19" t="str">
            <v/>
          </cell>
          <cell r="N19" t="str">
            <v/>
          </cell>
          <cell r="O19" t="str">
            <v/>
          </cell>
          <cell r="P19" t="str">
            <v/>
          </cell>
          <cell r="Q19" t="str">
            <v/>
          </cell>
          <cell r="V19" t="str">
            <v/>
          </cell>
        </row>
      </sheetData>
      <sheetData sheetId="9" refreshError="1"/>
      <sheetData sheetId="10">
        <row r="1">
          <cell r="A1" t="str">
            <v>~~~~~~~~ DROP DOWN MENU ~~~~~~~~</v>
          </cell>
        </row>
        <row r="2">
          <cell r="A2">
            <v>0</v>
          </cell>
        </row>
        <row r="3">
          <cell r="A3">
            <v>0</v>
          </cell>
        </row>
        <row r="4">
          <cell r="A4">
            <v>0</v>
          </cell>
        </row>
        <row r="5">
          <cell r="A5">
            <v>0</v>
          </cell>
        </row>
        <row r="6">
          <cell r="A6">
            <v>0</v>
          </cell>
        </row>
        <row r="7">
          <cell r="A7">
            <v>0</v>
          </cell>
        </row>
        <row r="8">
          <cell r="A8">
            <v>0</v>
          </cell>
        </row>
        <row r="9">
          <cell r="A9">
            <v>0</v>
          </cell>
        </row>
        <row r="10">
          <cell r="A10">
            <v>0</v>
          </cell>
        </row>
        <row r="11">
          <cell r="A11">
            <v>0</v>
          </cell>
        </row>
        <row r="12">
          <cell r="A12">
            <v>0</v>
          </cell>
        </row>
        <row r="13">
          <cell r="A13">
            <v>0</v>
          </cell>
        </row>
        <row r="14">
          <cell r="A14">
            <v>0</v>
          </cell>
        </row>
        <row r="15">
          <cell r="A15">
            <v>0</v>
          </cell>
        </row>
        <row r="16">
          <cell r="A16">
            <v>0</v>
          </cell>
        </row>
        <row r="17">
          <cell r="A17">
            <v>0</v>
          </cell>
        </row>
        <row r="18">
          <cell r="A18">
            <v>0</v>
          </cell>
        </row>
        <row r="19">
          <cell r="A19">
            <v>0</v>
          </cell>
        </row>
        <row r="20">
          <cell r="A20">
            <v>0</v>
          </cell>
        </row>
        <row r="21">
          <cell r="A21">
            <v>0</v>
          </cell>
        </row>
        <row r="22">
          <cell r="A22">
            <v>0</v>
          </cell>
        </row>
        <row r="23">
          <cell r="A23">
            <v>0</v>
          </cell>
        </row>
        <row r="24">
          <cell r="A24">
            <v>0</v>
          </cell>
        </row>
        <row r="25">
          <cell r="A25">
            <v>0</v>
          </cell>
        </row>
        <row r="26">
          <cell r="A26">
            <v>0</v>
          </cell>
        </row>
        <row r="27">
          <cell r="A27" t="str">
            <v/>
          </cell>
        </row>
        <row r="28">
          <cell r="A28" t="str">
            <v/>
          </cell>
        </row>
        <row r="29">
          <cell r="A29" t="str">
            <v/>
          </cell>
        </row>
        <row r="30">
          <cell r="A30" t="str">
            <v/>
          </cell>
        </row>
        <row r="31">
          <cell r="A31" t="str">
            <v/>
          </cell>
        </row>
        <row r="32">
          <cell r="A32" t="str">
            <v/>
          </cell>
        </row>
        <row r="33">
          <cell r="A33" t="str">
            <v/>
          </cell>
        </row>
        <row r="34">
          <cell r="A34" t="str">
            <v/>
          </cell>
        </row>
        <row r="35">
          <cell r="A35" t="str">
            <v/>
          </cell>
        </row>
        <row r="36">
          <cell r="A36" t="str">
            <v/>
          </cell>
        </row>
        <row r="37">
          <cell r="A37" t="str">
            <v/>
          </cell>
        </row>
        <row r="38">
          <cell r="A38" t="str">
            <v/>
          </cell>
        </row>
        <row r="39">
          <cell r="A39" t="str">
            <v/>
          </cell>
        </row>
        <row r="40">
          <cell r="A40" t="str">
            <v/>
          </cell>
        </row>
        <row r="41">
          <cell r="A41" t="str">
            <v/>
          </cell>
        </row>
        <row r="42">
          <cell r="A42" t="str">
            <v/>
          </cell>
        </row>
        <row r="43">
          <cell r="A43" t="str">
            <v/>
          </cell>
        </row>
        <row r="44">
          <cell r="A44" t="str">
            <v/>
          </cell>
        </row>
      </sheetData>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oublesin, James" refreshedDate="43685.716378124998" createdVersion="4" refreshedVersion="4" minRefreshableVersion="3" recordCount="332" xr:uid="{00000000-000A-0000-FFFF-FFFF00000000}">
  <cacheSource type="worksheet">
    <worksheetSource ref="B13:H345" sheet="IBIS"/>
  </cacheSource>
  <cacheFields count="7">
    <cacheField name="DDR Type" numFmtId="0">
      <sharedItems count="3">
        <s v="DDR4"/>
        <s v="LPDDR4"/>
        <s v="DDR3L"/>
      </sharedItems>
    </cacheField>
    <cacheField name="Signal Type" numFmtId="0">
      <sharedItems count="3">
        <s v="Clock"/>
        <s v="Data"/>
        <s v="DQS"/>
      </sharedItems>
    </cacheField>
    <cacheField name="Cell Type" numFmtId="0">
      <sharedItems count="2">
        <s v="Driver"/>
        <s v="Receiver"/>
      </sharedItems>
    </cacheField>
    <cacheField name="SR" numFmtId="49">
      <sharedItems count="5">
        <s v="00"/>
        <s v="01"/>
        <s v="10"/>
        <s v="11"/>
        <s v="NA"/>
      </sharedItems>
    </cacheField>
    <cacheField name="Output Impedance" numFmtId="0">
      <sharedItems containsMixedTypes="1" containsNumber="1" containsInteger="1" minValue="34" maxValue="480" count="14">
        <n v="34"/>
        <n v="48"/>
        <s v="NA"/>
        <n v="40"/>
        <n v="60"/>
        <n v="80"/>
        <n v="96"/>
        <n v="120"/>
        <n v="160"/>
        <n v="180"/>
        <n v="240"/>
        <n v="360"/>
        <n v="480"/>
        <s v="360"/>
      </sharedItems>
    </cacheField>
    <cacheField name="ODT" numFmtId="0">
      <sharedItems containsMixedTypes="1" containsNumber="1" containsInteger="1" minValue="34" maxValue="240" count="9">
        <s v="NA"/>
        <s v="OFF"/>
        <n v="34"/>
        <n v="40"/>
        <n v="48"/>
        <n v="60"/>
        <n v="80"/>
        <n v="120"/>
        <n v="240"/>
      </sharedItems>
    </cacheField>
    <cacheField name="PU/PD"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32">
  <r>
    <x v="0"/>
    <x v="0"/>
    <x v="0"/>
    <x v="0"/>
    <x v="0"/>
    <x v="0"/>
    <s v="NA"/>
  </r>
  <r>
    <x v="0"/>
    <x v="0"/>
    <x v="0"/>
    <x v="1"/>
    <x v="0"/>
    <x v="0"/>
    <s v="NA"/>
  </r>
  <r>
    <x v="0"/>
    <x v="0"/>
    <x v="0"/>
    <x v="2"/>
    <x v="0"/>
    <x v="0"/>
    <s v="NA"/>
  </r>
  <r>
    <x v="0"/>
    <x v="0"/>
    <x v="0"/>
    <x v="3"/>
    <x v="0"/>
    <x v="0"/>
    <s v="NA"/>
  </r>
  <r>
    <x v="0"/>
    <x v="0"/>
    <x v="0"/>
    <x v="0"/>
    <x v="1"/>
    <x v="0"/>
    <s v="NA"/>
  </r>
  <r>
    <x v="0"/>
    <x v="0"/>
    <x v="0"/>
    <x v="1"/>
    <x v="1"/>
    <x v="0"/>
    <s v="NA"/>
  </r>
  <r>
    <x v="0"/>
    <x v="0"/>
    <x v="0"/>
    <x v="2"/>
    <x v="1"/>
    <x v="0"/>
    <s v="NA"/>
  </r>
  <r>
    <x v="0"/>
    <x v="0"/>
    <x v="0"/>
    <x v="3"/>
    <x v="1"/>
    <x v="0"/>
    <s v="NA"/>
  </r>
  <r>
    <x v="0"/>
    <x v="1"/>
    <x v="0"/>
    <x v="0"/>
    <x v="0"/>
    <x v="0"/>
    <s v="NA"/>
  </r>
  <r>
    <x v="0"/>
    <x v="1"/>
    <x v="0"/>
    <x v="1"/>
    <x v="0"/>
    <x v="0"/>
    <s v="NA"/>
  </r>
  <r>
    <x v="0"/>
    <x v="1"/>
    <x v="0"/>
    <x v="2"/>
    <x v="0"/>
    <x v="0"/>
    <s v="NA"/>
  </r>
  <r>
    <x v="0"/>
    <x v="1"/>
    <x v="0"/>
    <x v="3"/>
    <x v="0"/>
    <x v="0"/>
    <s v="NA"/>
  </r>
  <r>
    <x v="0"/>
    <x v="1"/>
    <x v="0"/>
    <x v="0"/>
    <x v="1"/>
    <x v="0"/>
    <s v="NA"/>
  </r>
  <r>
    <x v="0"/>
    <x v="1"/>
    <x v="0"/>
    <x v="1"/>
    <x v="1"/>
    <x v="0"/>
    <s v="NA"/>
  </r>
  <r>
    <x v="0"/>
    <x v="1"/>
    <x v="0"/>
    <x v="2"/>
    <x v="1"/>
    <x v="0"/>
    <s v="NA"/>
  </r>
  <r>
    <x v="0"/>
    <x v="1"/>
    <x v="0"/>
    <x v="3"/>
    <x v="1"/>
    <x v="0"/>
    <s v="NA"/>
  </r>
  <r>
    <x v="0"/>
    <x v="1"/>
    <x v="1"/>
    <x v="4"/>
    <x v="2"/>
    <x v="1"/>
    <s v="NONE"/>
  </r>
  <r>
    <x v="0"/>
    <x v="1"/>
    <x v="1"/>
    <x v="4"/>
    <x v="2"/>
    <x v="2"/>
    <s v="NONE"/>
  </r>
  <r>
    <x v="0"/>
    <x v="1"/>
    <x v="1"/>
    <x v="4"/>
    <x v="2"/>
    <x v="3"/>
    <s v="NONE"/>
  </r>
  <r>
    <x v="0"/>
    <x v="1"/>
    <x v="1"/>
    <x v="4"/>
    <x v="2"/>
    <x v="4"/>
    <s v="NONE"/>
  </r>
  <r>
    <x v="0"/>
    <x v="1"/>
    <x v="1"/>
    <x v="4"/>
    <x v="2"/>
    <x v="5"/>
    <s v="NONE"/>
  </r>
  <r>
    <x v="0"/>
    <x v="1"/>
    <x v="1"/>
    <x v="4"/>
    <x v="2"/>
    <x v="6"/>
    <s v="NONE"/>
  </r>
  <r>
    <x v="0"/>
    <x v="1"/>
    <x v="1"/>
    <x v="4"/>
    <x v="2"/>
    <x v="7"/>
    <s v="NONE"/>
  </r>
  <r>
    <x v="0"/>
    <x v="1"/>
    <x v="1"/>
    <x v="4"/>
    <x v="2"/>
    <x v="8"/>
    <s v="NONE"/>
  </r>
  <r>
    <x v="0"/>
    <x v="2"/>
    <x v="0"/>
    <x v="0"/>
    <x v="0"/>
    <x v="0"/>
    <s v="NA"/>
  </r>
  <r>
    <x v="0"/>
    <x v="2"/>
    <x v="0"/>
    <x v="1"/>
    <x v="0"/>
    <x v="0"/>
    <s v="NA"/>
  </r>
  <r>
    <x v="0"/>
    <x v="2"/>
    <x v="0"/>
    <x v="2"/>
    <x v="0"/>
    <x v="0"/>
    <s v="NA"/>
  </r>
  <r>
    <x v="0"/>
    <x v="2"/>
    <x v="0"/>
    <x v="3"/>
    <x v="0"/>
    <x v="0"/>
    <s v="NA"/>
  </r>
  <r>
    <x v="0"/>
    <x v="2"/>
    <x v="0"/>
    <x v="0"/>
    <x v="1"/>
    <x v="0"/>
    <s v="NA"/>
  </r>
  <r>
    <x v="0"/>
    <x v="2"/>
    <x v="0"/>
    <x v="1"/>
    <x v="1"/>
    <x v="0"/>
    <s v="NA"/>
  </r>
  <r>
    <x v="0"/>
    <x v="2"/>
    <x v="0"/>
    <x v="2"/>
    <x v="1"/>
    <x v="0"/>
    <s v="NA"/>
  </r>
  <r>
    <x v="0"/>
    <x v="2"/>
    <x v="0"/>
    <x v="3"/>
    <x v="1"/>
    <x v="0"/>
    <s v="NA"/>
  </r>
  <r>
    <x v="0"/>
    <x v="2"/>
    <x v="1"/>
    <x v="4"/>
    <x v="2"/>
    <x v="1"/>
    <s v="PD415"/>
  </r>
  <r>
    <x v="0"/>
    <x v="2"/>
    <x v="1"/>
    <x v="4"/>
    <x v="2"/>
    <x v="1"/>
    <s v="PD500"/>
  </r>
  <r>
    <x v="0"/>
    <x v="2"/>
    <x v="1"/>
    <x v="4"/>
    <x v="2"/>
    <x v="1"/>
    <s v="PD620"/>
  </r>
  <r>
    <x v="0"/>
    <x v="2"/>
    <x v="1"/>
    <x v="4"/>
    <x v="2"/>
    <x v="1"/>
    <s v="PU415"/>
  </r>
  <r>
    <x v="0"/>
    <x v="2"/>
    <x v="1"/>
    <x v="4"/>
    <x v="2"/>
    <x v="1"/>
    <s v="PU500"/>
  </r>
  <r>
    <x v="0"/>
    <x v="2"/>
    <x v="1"/>
    <x v="4"/>
    <x v="2"/>
    <x v="1"/>
    <s v="PU620"/>
  </r>
  <r>
    <x v="0"/>
    <x v="2"/>
    <x v="1"/>
    <x v="4"/>
    <x v="2"/>
    <x v="1"/>
    <s v="NONE"/>
  </r>
  <r>
    <x v="0"/>
    <x v="2"/>
    <x v="1"/>
    <x v="4"/>
    <x v="2"/>
    <x v="2"/>
    <s v="PD415"/>
  </r>
  <r>
    <x v="0"/>
    <x v="2"/>
    <x v="1"/>
    <x v="4"/>
    <x v="2"/>
    <x v="2"/>
    <s v="PD500"/>
  </r>
  <r>
    <x v="0"/>
    <x v="2"/>
    <x v="1"/>
    <x v="4"/>
    <x v="2"/>
    <x v="2"/>
    <s v="PD620"/>
  </r>
  <r>
    <x v="0"/>
    <x v="2"/>
    <x v="1"/>
    <x v="4"/>
    <x v="2"/>
    <x v="2"/>
    <s v="PU415"/>
  </r>
  <r>
    <x v="0"/>
    <x v="2"/>
    <x v="1"/>
    <x v="4"/>
    <x v="2"/>
    <x v="2"/>
    <s v="PU500"/>
  </r>
  <r>
    <x v="0"/>
    <x v="2"/>
    <x v="1"/>
    <x v="4"/>
    <x v="2"/>
    <x v="2"/>
    <s v="PU620"/>
  </r>
  <r>
    <x v="0"/>
    <x v="2"/>
    <x v="1"/>
    <x v="4"/>
    <x v="2"/>
    <x v="2"/>
    <s v="NONE"/>
  </r>
  <r>
    <x v="0"/>
    <x v="2"/>
    <x v="1"/>
    <x v="4"/>
    <x v="2"/>
    <x v="3"/>
    <s v="PD415"/>
  </r>
  <r>
    <x v="0"/>
    <x v="2"/>
    <x v="1"/>
    <x v="4"/>
    <x v="2"/>
    <x v="3"/>
    <s v="PD500"/>
  </r>
  <r>
    <x v="0"/>
    <x v="2"/>
    <x v="1"/>
    <x v="4"/>
    <x v="2"/>
    <x v="3"/>
    <s v="PD620"/>
  </r>
  <r>
    <x v="0"/>
    <x v="2"/>
    <x v="1"/>
    <x v="4"/>
    <x v="2"/>
    <x v="3"/>
    <s v="PU415"/>
  </r>
  <r>
    <x v="0"/>
    <x v="2"/>
    <x v="1"/>
    <x v="4"/>
    <x v="2"/>
    <x v="3"/>
    <s v="PU500"/>
  </r>
  <r>
    <x v="0"/>
    <x v="2"/>
    <x v="1"/>
    <x v="4"/>
    <x v="2"/>
    <x v="3"/>
    <s v="PU620"/>
  </r>
  <r>
    <x v="0"/>
    <x v="2"/>
    <x v="1"/>
    <x v="4"/>
    <x v="2"/>
    <x v="3"/>
    <s v="NONE"/>
  </r>
  <r>
    <x v="0"/>
    <x v="2"/>
    <x v="1"/>
    <x v="4"/>
    <x v="2"/>
    <x v="4"/>
    <s v="PD415"/>
  </r>
  <r>
    <x v="0"/>
    <x v="2"/>
    <x v="1"/>
    <x v="4"/>
    <x v="2"/>
    <x v="4"/>
    <s v="PD500"/>
  </r>
  <r>
    <x v="0"/>
    <x v="2"/>
    <x v="1"/>
    <x v="4"/>
    <x v="2"/>
    <x v="4"/>
    <s v="PD620"/>
  </r>
  <r>
    <x v="0"/>
    <x v="2"/>
    <x v="1"/>
    <x v="4"/>
    <x v="2"/>
    <x v="4"/>
    <s v="PU415"/>
  </r>
  <r>
    <x v="0"/>
    <x v="2"/>
    <x v="1"/>
    <x v="4"/>
    <x v="2"/>
    <x v="4"/>
    <s v="PU500"/>
  </r>
  <r>
    <x v="0"/>
    <x v="2"/>
    <x v="1"/>
    <x v="4"/>
    <x v="2"/>
    <x v="4"/>
    <s v="PU620"/>
  </r>
  <r>
    <x v="0"/>
    <x v="2"/>
    <x v="1"/>
    <x v="4"/>
    <x v="2"/>
    <x v="4"/>
    <s v="NONE"/>
  </r>
  <r>
    <x v="0"/>
    <x v="2"/>
    <x v="1"/>
    <x v="4"/>
    <x v="2"/>
    <x v="5"/>
    <s v="PD415"/>
  </r>
  <r>
    <x v="0"/>
    <x v="2"/>
    <x v="1"/>
    <x v="4"/>
    <x v="2"/>
    <x v="5"/>
    <s v="PD500"/>
  </r>
  <r>
    <x v="0"/>
    <x v="2"/>
    <x v="1"/>
    <x v="4"/>
    <x v="2"/>
    <x v="5"/>
    <s v="PD620"/>
  </r>
  <r>
    <x v="0"/>
    <x v="2"/>
    <x v="1"/>
    <x v="4"/>
    <x v="2"/>
    <x v="5"/>
    <s v="PU415"/>
  </r>
  <r>
    <x v="0"/>
    <x v="2"/>
    <x v="1"/>
    <x v="4"/>
    <x v="2"/>
    <x v="5"/>
    <s v="PU500"/>
  </r>
  <r>
    <x v="0"/>
    <x v="2"/>
    <x v="1"/>
    <x v="4"/>
    <x v="2"/>
    <x v="5"/>
    <s v="PU620"/>
  </r>
  <r>
    <x v="0"/>
    <x v="2"/>
    <x v="1"/>
    <x v="4"/>
    <x v="2"/>
    <x v="5"/>
    <s v="NONE"/>
  </r>
  <r>
    <x v="0"/>
    <x v="2"/>
    <x v="1"/>
    <x v="4"/>
    <x v="2"/>
    <x v="6"/>
    <s v="PD415"/>
  </r>
  <r>
    <x v="0"/>
    <x v="2"/>
    <x v="1"/>
    <x v="4"/>
    <x v="2"/>
    <x v="6"/>
    <s v="PD500"/>
  </r>
  <r>
    <x v="0"/>
    <x v="2"/>
    <x v="1"/>
    <x v="4"/>
    <x v="2"/>
    <x v="6"/>
    <s v="PD620"/>
  </r>
  <r>
    <x v="0"/>
    <x v="2"/>
    <x v="1"/>
    <x v="4"/>
    <x v="2"/>
    <x v="6"/>
    <s v="PU415"/>
  </r>
  <r>
    <x v="0"/>
    <x v="2"/>
    <x v="1"/>
    <x v="4"/>
    <x v="2"/>
    <x v="6"/>
    <s v="PU500"/>
  </r>
  <r>
    <x v="0"/>
    <x v="2"/>
    <x v="1"/>
    <x v="4"/>
    <x v="2"/>
    <x v="6"/>
    <s v="PU620"/>
  </r>
  <r>
    <x v="0"/>
    <x v="2"/>
    <x v="1"/>
    <x v="4"/>
    <x v="2"/>
    <x v="6"/>
    <s v="NONE"/>
  </r>
  <r>
    <x v="0"/>
    <x v="2"/>
    <x v="1"/>
    <x v="4"/>
    <x v="2"/>
    <x v="7"/>
    <s v="PD415"/>
  </r>
  <r>
    <x v="0"/>
    <x v="2"/>
    <x v="1"/>
    <x v="4"/>
    <x v="2"/>
    <x v="7"/>
    <s v="PD500"/>
  </r>
  <r>
    <x v="0"/>
    <x v="2"/>
    <x v="1"/>
    <x v="4"/>
    <x v="2"/>
    <x v="7"/>
    <s v="PD620"/>
  </r>
  <r>
    <x v="0"/>
    <x v="2"/>
    <x v="1"/>
    <x v="4"/>
    <x v="2"/>
    <x v="7"/>
    <s v="PU415"/>
  </r>
  <r>
    <x v="0"/>
    <x v="2"/>
    <x v="1"/>
    <x v="4"/>
    <x v="2"/>
    <x v="7"/>
    <s v="PU500"/>
  </r>
  <r>
    <x v="0"/>
    <x v="2"/>
    <x v="1"/>
    <x v="4"/>
    <x v="2"/>
    <x v="7"/>
    <s v="PU620"/>
  </r>
  <r>
    <x v="0"/>
    <x v="2"/>
    <x v="1"/>
    <x v="4"/>
    <x v="2"/>
    <x v="7"/>
    <s v="NONE"/>
  </r>
  <r>
    <x v="0"/>
    <x v="2"/>
    <x v="1"/>
    <x v="4"/>
    <x v="2"/>
    <x v="8"/>
    <s v="PD415"/>
  </r>
  <r>
    <x v="0"/>
    <x v="2"/>
    <x v="1"/>
    <x v="4"/>
    <x v="2"/>
    <x v="8"/>
    <s v="PD500"/>
  </r>
  <r>
    <x v="0"/>
    <x v="2"/>
    <x v="1"/>
    <x v="4"/>
    <x v="2"/>
    <x v="8"/>
    <s v="PD620"/>
  </r>
  <r>
    <x v="0"/>
    <x v="2"/>
    <x v="1"/>
    <x v="4"/>
    <x v="2"/>
    <x v="8"/>
    <s v="PU415"/>
  </r>
  <r>
    <x v="0"/>
    <x v="2"/>
    <x v="1"/>
    <x v="4"/>
    <x v="2"/>
    <x v="8"/>
    <s v="PU500"/>
  </r>
  <r>
    <x v="0"/>
    <x v="2"/>
    <x v="1"/>
    <x v="4"/>
    <x v="2"/>
    <x v="8"/>
    <s v="PU620"/>
  </r>
  <r>
    <x v="0"/>
    <x v="2"/>
    <x v="1"/>
    <x v="4"/>
    <x v="2"/>
    <x v="8"/>
    <s v="NONE"/>
  </r>
  <r>
    <x v="1"/>
    <x v="0"/>
    <x v="0"/>
    <x v="0"/>
    <x v="3"/>
    <x v="0"/>
    <s v="NA"/>
  </r>
  <r>
    <x v="1"/>
    <x v="0"/>
    <x v="0"/>
    <x v="1"/>
    <x v="3"/>
    <x v="0"/>
    <s v="NA"/>
  </r>
  <r>
    <x v="1"/>
    <x v="0"/>
    <x v="0"/>
    <x v="2"/>
    <x v="3"/>
    <x v="0"/>
    <s v="NA"/>
  </r>
  <r>
    <x v="1"/>
    <x v="0"/>
    <x v="0"/>
    <x v="3"/>
    <x v="3"/>
    <x v="0"/>
    <s v="NA"/>
  </r>
  <r>
    <x v="1"/>
    <x v="0"/>
    <x v="0"/>
    <x v="0"/>
    <x v="4"/>
    <x v="0"/>
    <s v="NA"/>
  </r>
  <r>
    <x v="1"/>
    <x v="0"/>
    <x v="0"/>
    <x v="1"/>
    <x v="4"/>
    <x v="0"/>
    <s v="NA"/>
  </r>
  <r>
    <x v="1"/>
    <x v="0"/>
    <x v="0"/>
    <x v="2"/>
    <x v="4"/>
    <x v="0"/>
    <s v="NA"/>
  </r>
  <r>
    <x v="1"/>
    <x v="0"/>
    <x v="0"/>
    <x v="3"/>
    <x v="4"/>
    <x v="0"/>
    <s v="NA"/>
  </r>
  <r>
    <x v="1"/>
    <x v="0"/>
    <x v="0"/>
    <x v="0"/>
    <x v="1"/>
    <x v="0"/>
    <s v="NA"/>
  </r>
  <r>
    <x v="1"/>
    <x v="0"/>
    <x v="0"/>
    <x v="1"/>
    <x v="1"/>
    <x v="0"/>
    <s v="NA"/>
  </r>
  <r>
    <x v="1"/>
    <x v="0"/>
    <x v="0"/>
    <x v="2"/>
    <x v="1"/>
    <x v="0"/>
    <s v="NA"/>
  </r>
  <r>
    <x v="1"/>
    <x v="0"/>
    <x v="0"/>
    <x v="3"/>
    <x v="1"/>
    <x v="0"/>
    <s v="NA"/>
  </r>
  <r>
    <x v="1"/>
    <x v="0"/>
    <x v="0"/>
    <x v="0"/>
    <x v="5"/>
    <x v="0"/>
    <s v="NA"/>
  </r>
  <r>
    <x v="1"/>
    <x v="0"/>
    <x v="0"/>
    <x v="1"/>
    <x v="5"/>
    <x v="0"/>
    <s v="NA"/>
  </r>
  <r>
    <x v="1"/>
    <x v="0"/>
    <x v="0"/>
    <x v="2"/>
    <x v="5"/>
    <x v="0"/>
    <s v="NA"/>
  </r>
  <r>
    <x v="1"/>
    <x v="0"/>
    <x v="0"/>
    <x v="3"/>
    <x v="5"/>
    <x v="0"/>
    <s v="NA"/>
  </r>
  <r>
    <x v="1"/>
    <x v="0"/>
    <x v="0"/>
    <x v="0"/>
    <x v="6"/>
    <x v="0"/>
    <s v="NA"/>
  </r>
  <r>
    <x v="1"/>
    <x v="0"/>
    <x v="0"/>
    <x v="1"/>
    <x v="6"/>
    <x v="0"/>
    <s v="NA"/>
  </r>
  <r>
    <x v="1"/>
    <x v="0"/>
    <x v="0"/>
    <x v="2"/>
    <x v="6"/>
    <x v="0"/>
    <s v="NA"/>
  </r>
  <r>
    <x v="1"/>
    <x v="0"/>
    <x v="0"/>
    <x v="3"/>
    <x v="6"/>
    <x v="0"/>
    <s v="NA"/>
  </r>
  <r>
    <x v="1"/>
    <x v="0"/>
    <x v="0"/>
    <x v="0"/>
    <x v="7"/>
    <x v="0"/>
    <s v="NA"/>
  </r>
  <r>
    <x v="1"/>
    <x v="0"/>
    <x v="0"/>
    <x v="1"/>
    <x v="7"/>
    <x v="0"/>
    <s v="NA"/>
  </r>
  <r>
    <x v="1"/>
    <x v="0"/>
    <x v="0"/>
    <x v="2"/>
    <x v="7"/>
    <x v="0"/>
    <s v="NA"/>
  </r>
  <r>
    <x v="1"/>
    <x v="0"/>
    <x v="0"/>
    <x v="3"/>
    <x v="7"/>
    <x v="0"/>
    <s v="NA"/>
  </r>
  <r>
    <x v="1"/>
    <x v="0"/>
    <x v="0"/>
    <x v="0"/>
    <x v="8"/>
    <x v="0"/>
    <s v="NA"/>
  </r>
  <r>
    <x v="1"/>
    <x v="0"/>
    <x v="0"/>
    <x v="1"/>
    <x v="8"/>
    <x v="0"/>
    <s v="NA"/>
  </r>
  <r>
    <x v="1"/>
    <x v="0"/>
    <x v="0"/>
    <x v="2"/>
    <x v="8"/>
    <x v="0"/>
    <s v="NA"/>
  </r>
  <r>
    <x v="1"/>
    <x v="0"/>
    <x v="0"/>
    <x v="3"/>
    <x v="8"/>
    <x v="0"/>
    <s v="NA"/>
  </r>
  <r>
    <x v="1"/>
    <x v="0"/>
    <x v="0"/>
    <x v="0"/>
    <x v="9"/>
    <x v="0"/>
    <s v="NA"/>
  </r>
  <r>
    <x v="1"/>
    <x v="0"/>
    <x v="0"/>
    <x v="1"/>
    <x v="9"/>
    <x v="0"/>
    <s v="NA"/>
  </r>
  <r>
    <x v="1"/>
    <x v="0"/>
    <x v="0"/>
    <x v="2"/>
    <x v="9"/>
    <x v="0"/>
    <s v="NA"/>
  </r>
  <r>
    <x v="1"/>
    <x v="0"/>
    <x v="0"/>
    <x v="3"/>
    <x v="9"/>
    <x v="0"/>
    <s v="NA"/>
  </r>
  <r>
    <x v="1"/>
    <x v="0"/>
    <x v="0"/>
    <x v="0"/>
    <x v="10"/>
    <x v="0"/>
    <s v="NA"/>
  </r>
  <r>
    <x v="1"/>
    <x v="0"/>
    <x v="0"/>
    <x v="1"/>
    <x v="10"/>
    <x v="0"/>
    <s v="NA"/>
  </r>
  <r>
    <x v="1"/>
    <x v="0"/>
    <x v="0"/>
    <x v="2"/>
    <x v="10"/>
    <x v="0"/>
    <s v="NA"/>
  </r>
  <r>
    <x v="1"/>
    <x v="0"/>
    <x v="0"/>
    <x v="3"/>
    <x v="10"/>
    <x v="0"/>
    <s v="NA"/>
  </r>
  <r>
    <x v="1"/>
    <x v="0"/>
    <x v="0"/>
    <x v="0"/>
    <x v="11"/>
    <x v="0"/>
    <s v="NA"/>
  </r>
  <r>
    <x v="1"/>
    <x v="0"/>
    <x v="0"/>
    <x v="1"/>
    <x v="11"/>
    <x v="0"/>
    <s v="NA"/>
  </r>
  <r>
    <x v="1"/>
    <x v="0"/>
    <x v="0"/>
    <x v="2"/>
    <x v="11"/>
    <x v="0"/>
    <s v="NA"/>
  </r>
  <r>
    <x v="1"/>
    <x v="0"/>
    <x v="0"/>
    <x v="3"/>
    <x v="11"/>
    <x v="0"/>
    <s v="NA"/>
  </r>
  <r>
    <x v="1"/>
    <x v="0"/>
    <x v="0"/>
    <x v="0"/>
    <x v="12"/>
    <x v="0"/>
    <s v="NA"/>
  </r>
  <r>
    <x v="1"/>
    <x v="0"/>
    <x v="0"/>
    <x v="1"/>
    <x v="12"/>
    <x v="0"/>
    <s v="NA"/>
  </r>
  <r>
    <x v="1"/>
    <x v="0"/>
    <x v="0"/>
    <x v="2"/>
    <x v="12"/>
    <x v="0"/>
    <s v="NA"/>
  </r>
  <r>
    <x v="1"/>
    <x v="0"/>
    <x v="0"/>
    <x v="3"/>
    <x v="12"/>
    <x v="0"/>
    <s v="NA"/>
  </r>
  <r>
    <x v="1"/>
    <x v="1"/>
    <x v="0"/>
    <x v="0"/>
    <x v="3"/>
    <x v="0"/>
    <s v="NA"/>
  </r>
  <r>
    <x v="1"/>
    <x v="1"/>
    <x v="0"/>
    <x v="1"/>
    <x v="3"/>
    <x v="0"/>
    <s v="NA"/>
  </r>
  <r>
    <x v="1"/>
    <x v="1"/>
    <x v="0"/>
    <x v="2"/>
    <x v="3"/>
    <x v="0"/>
    <s v="NA"/>
  </r>
  <r>
    <x v="1"/>
    <x v="1"/>
    <x v="0"/>
    <x v="3"/>
    <x v="3"/>
    <x v="0"/>
    <s v="NA"/>
  </r>
  <r>
    <x v="1"/>
    <x v="1"/>
    <x v="0"/>
    <x v="0"/>
    <x v="1"/>
    <x v="0"/>
    <s v="NA"/>
  </r>
  <r>
    <x v="1"/>
    <x v="1"/>
    <x v="0"/>
    <x v="1"/>
    <x v="1"/>
    <x v="0"/>
    <s v="NA"/>
  </r>
  <r>
    <x v="1"/>
    <x v="1"/>
    <x v="0"/>
    <x v="2"/>
    <x v="1"/>
    <x v="0"/>
    <s v="NA"/>
  </r>
  <r>
    <x v="1"/>
    <x v="1"/>
    <x v="0"/>
    <x v="3"/>
    <x v="1"/>
    <x v="0"/>
    <s v="NA"/>
  </r>
  <r>
    <x v="1"/>
    <x v="1"/>
    <x v="0"/>
    <x v="0"/>
    <x v="4"/>
    <x v="0"/>
    <s v="NA"/>
  </r>
  <r>
    <x v="1"/>
    <x v="1"/>
    <x v="0"/>
    <x v="1"/>
    <x v="4"/>
    <x v="0"/>
    <s v="NA"/>
  </r>
  <r>
    <x v="1"/>
    <x v="1"/>
    <x v="0"/>
    <x v="2"/>
    <x v="4"/>
    <x v="0"/>
    <s v="NA"/>
  </r>
  <r>
    <x v="1"/>
    <x v="1"/>
    <x v="0"/>
    <x v="3"/>
    <x v="4"/>
    <x v="0"/>
    <s v="NA"/>
  </r>
  <r>
    <x v="1"/>
    <x v="1"/>
    <x v="0"/>
    <x v="0"/>
    <x v="5"/>
    <x v="0"/>
    <s v="NA"/>
  </r>
  <r>
    <x v="1"/>
    <x v="1"/>
    <x v="0"/>
    <x v="1"/>
    <x v="5"/>
    <x v="0"/>
    <s v="NA"/>
  </r>
  <r>
    <x v="1"/>
    <x v="1"/>
    <x v="0"/>
    <x v="2"/>
    <x v="5"/>
    <x v="0"/>
    <s v="NA"/>
  </r>
  <r>
    <x v="1"/>
    <x v="1"/>
    <x v="0"/>
    <x v="3"/>
    <x v="5"/>
    <x v="0"/>
    <s v="NA"/>
  </r>
  <r>
    <x v="1"/>
    <x v="1"/>
    <x v="0"/>
    <x v="0"/>
    <x v="6"/>
    <x v="0"/>
    <s v="NA"/>
  </r>
  <r>
    <x v="1"/>
    <x v="1"/>
    <x v="0"/>
    <x v="1"/>
    <x v="6"/>
    <x v="0"/>
    <s v="NA"/>
  </r>
  <r>
    <x v="1"/>
    <x v="1"/>
    <x v="0"/>
    <x v="2"/>
    <x v="6"/>
    <x v="0"/>
    <s v="NA"/>
  </r>
  <r>
    <x v="1"/>
    <x v="1"/>
    <x v="0"/>
    <x v="3"/>
    <x v="6"/>
    <x v="0"/>
    <s v="NA"/>
  </r>
  <r>
    <x v="1"/>
    <x v="1"/>
    <x v="0"/>
    <x v="0"/>
    <x v="7"/>
    <x v="0"/>
    <s v="NA"/>
  </r>
  <r>
    <x v="1"/>
    <x v="1"/>
    <x v="0"/>
    <x v="1"/>
    <x v="7"/>
    <x v="0"/>
    <s v="NA"/>
  </r>
  <r>
    <x v="1"/>
    <x v="1"/>
    <x v="0"/>
    <x v="2"/>
    <x v="7"/>
    <x v="0"/>
    <s v="NA"/>
  </r>
  <r>
    <x v="1"/>
    <x v="1"/>
    <x v="0"/>
    <x v="3"/>
    <x v="7"/>
    <x v="0"/>
    <s v="NA"/>
  </r>
  <r>
    <x v="1"/>
    <x v="1"/>
    <x v="0"/>
    <x v="0"/>
    <x v="8"/>
    <x v="0"/>
    <s v="NA"/>
  </r>
  <r>
    <x v="1"/>
    <x v="1"/>
    <x v="0"/>
    <x v="1"/>
    <x v="8"/>
    <x v="0"/>
    <s v="NA"/>
  </r>
  <r>
    <x v="1"/>
    <x v="1"/>
    <x v="0"/>
    <x v="2"/>
    <x v="8"/>
    <x v="0"/>
    <s v="NA"/>
  </r>
  <r>
    <x v="1"/>
    <x v="1"/>
    <x v="0"/>
    <x v="3"/>
    <x v="8"/>
    <x v="0"/>
    <s v="NA"/>
  </r>
  <r>
    <x v="1"/>
    <x v="1"/>
    <x v="0"/>
    <x v="0"/>
    <x v="9"/>
    <x v="0"/>
    <s v="NA"/>
  </r>
  <r>
    <x v="1"/>
    <x v="1"/>
    <x v="0"/>
    <x v="1"/>
    <x v="9"/>
    <x v="0"/>
    <s v="NA"/>
  </r>
  <r>
    <x v="1"/>
    <x v="1"/>
    <x v="0"/>
    <x v="2"/>
    <x v="9"/>
    <x v="0"/>
    <s v="NA"/>
  </r>
  <r>
    <x v="1"/>
    <x v="1"/>
    <x v="0"/>
    <x v="3"/>
    <x v="9"/>
    <x v="0"/>
    <s v="NA"/>
  </r>
  <r>
    <x v="1"/>
    <x v="1"/>
    <x v="0"/>
    <x v="0"/>
    <x v="10"/>
    <x v="0"/>
    <s v="NA"/>
  </r>
  <r>
    <x v="1"/>
    <x v="1"/>
    <x v="0"/>
    <x v="1"/>
    <x v="10"/>
    <x v="0"/>
    <s v="NA"/>
  </r>
  <r>
    <x v="1"/>
    <x v="1"/>
    <x v="0"/>
    <x v="2"/>
    <x v="10"/>
    <x v="0"/>
    <s v="NA"/>
  </r>
  <r>
    <x v="1"/>
    <x v="1"/>
    <x v="0"/>
    <x v="3"/>
    <x v="10"/>
    <x v="0"/>
    <s v="NA"/>
  </r>
  <r>
    <x v="1"/>
    <x v="1"/>
    <x v="0"/>
    <x v="0"/>
    <x v="11"/>
    <x v="0"/>
    <s v="NA"/>
  </r>
  <r>
    <x v="1"/>
    <x v="1"/>
    <x v="0"/>
    <x v="1"/>
    <x v="11"/>
    <x v="0"/>
    <s v="NA"/>
  </r>
  <r>
    <x v="1"/>
    <x v="1"/>
    <x v="0"/>
    <x v="2"/>
    <x v="11"/>
    <x v="0"/>
    <s v="NA"/>
  </r>
  <r>
    <x v="1"/>
    <x v="1"/>
    <x v="0"/>
    <x v="3"/>
    <x v="11"/>
    <x v="0"/>
    <s v="NA"/>
  </r>
  <r>
    <x v="1"/>
    <x v="1"/>
    <x v="0"/>
    <x v="0"/>
    <x v="12"/>
    <x v="0"/>
    <s v="NA"/>
  </r>
  <r>
    <x v="1"/>
    <x v="1"/>
    <x v="0"/>
    <x v="1"/>
    <x v="12"/>
    <x v="0"/>
    <s v="NA"/>
  </r>
  <r>
    <x v="1"/>
    <x v="1"/>
    <x v="0"/>
    <x v="2"/>
    <x v="12"/>
    <x v="0"/>
    <s v="NA"/>
  </r>
  <r>
    <x v="1"/>
    <x v="1"/>
    <x v="0"/>
    <x v="3"/>
    <x v="12"/>
    <x v="0"/>
    <s v="NA"/>
  </r>
  <r>
    <x v="1"/>
    <x v="1"/>
    <x v="1"/>
    <x v="4"/>
    <x v="2"/>
    <x v="3"/>
    <s v="NONE"/>
  </r>
  <r>
    <x v="1"/>
    <x v="1"/>
    <x v="1"/>
    <x v="4"/>
    <x v="2"/>
    <x v="4"/>
    <s v="NONE"/>
  </r>
  <r>
    <x v="1"/>
    <x v="1"/>
    <x v="1"/>
    <x v="4"/>
    <x v="2"/>
    <x v="5"/>
    <s v="NONE"/>
  </r>
  <r>
    <x v="1"/>
    <x v="1"/>
    <x v="1"/>
    <x v="4"/>
    <x v="2"/>
    <x v="6"/>
    <s v="NONE"/>
  </r>
  <r>
    <x v="1"/>
    <x v="1"/>
    <x v="1"/>
    <x v="4"/>
    <x v="2"/>
    <x v="7"/>
    <s v="NONE"/>
  </r>
  <r>
    <x v="1"/>
    <x v="1"/>
    <x v="1"/>
    <x v="4"/>
    <x v="2"/>
    <x v="8"/>
    <s v="NONE"/>
  </r>
  <r>
    <x v="1"/>
    <x v="1"/>
    <x v="1"/>
    <x v="4"/>
    <x v="2"/>
    <x v="1"/>
    <s v="NONE"/>
  </r>
  <r>
    <x v="1"/>
    <x v="2"/>
    <x v="0"/>
    <x v="0"/>
    <x v="3"/>
    <x v="0"/>
    <s v="NA"/>
  </r>
  <r>
    <x v="1"/>
    <x v="2"/>
    <x v="0"/>
    <x v="1"/>
    <x v="3"/>
    <x v="0"/>
    <s v="NA"/>
  </r>
  <r>
    <x v="1"/>
    <x v="2"/>
    <x v="0"/>
    <x v="2"/>
    <x v="3"/>
    <x v="0"/>
    <s v="NA"/>
  </r>
  <r>
    <x v="1"/>
    <x v="2"/>
    <x v="0"/>
    <x v="3"/>
    <x v="3"/>
    <x v="0"/>
    <s v="NA"/>
  </r>
  <r>
    <x v="1"/>
    <x v="2"/>
    <x v="0"/>
    <x v="0"/>
    <x v="1"/>
    <x v="0"/>
    <s v="NA"/>
  </r>
  <r>
    <x v="1"/>
    <x v="2"/>
    <x v="0"/>
    <x v="1"/>
    <x v="1"/>
    <x v="0"/>
    <s v="NA"/>
  </r>
  <r>
    <x v="1"/>
    <x v="2"/>
    <x v="0"/>
    <x v="2"/>
    <x v="1"/>
    <x v="0"/>
    <s v="NA"/>
  </r>
  <r>
    <x v="1"/>
    <x v="2"/>
    <x v="0"/>
    <x v="3"/>
    <x v="1"/>
    <x v="0"/>
    <s v="NA"/>
  </r>
  <r>
    <x v="1"/>
    <x v="2"/>
    <x v="0"/>
    <x v="0"/>
    <x v="4"/>
    <x v="0"/>
    <s v="NA"/>
  </r>
  <r>
    <x v="1"/>
    <x v="2"/>
    <x v="0"/>
    <x v="1"/>
    <x v="4"/>
    <x v="0"/>
    <s v="NA"/>
  </r>
  <r>
    <x v="1"/>
    <x v="2"/>
    <x v="0"/>
    <x v="2"/>
    <x v="4"/>
    <x v="0"/>
    <s v="NA"/>
  </r>
  <r>
    <x v="1"/>
    <x v="2"/>
    <x v="0"/>
    <x v="3"/>
    <x v="4"/>
    <x v="0"/>
    <s v="NA"/>
  </r>
  <r>
    <x v="1"/>
    <x v="2"/>
    <x v="0"/>
    <x v="0"/>
    <x v="5"/>
    <x v="0"/>
    <s v="NA"/>
  </r>
  <r>
    <x v="1"/>
    <x v="2"/>
    <x v="0"/>
    <x v="1"/>
    <x v="5"/>
    <x v="0"/>
    <s v="NA"/>
  </r>
  <r>
    <x v="1"/>
    <x v="2"/>
    <x v="0"/>
    <x v="2"/>
    <x v="5"/>
    <x v="0"/>
    <s v="NA"/>
  </r>
  <r>
    <x v="1"/>
    <x v="2"/>
    <x v="0"/>
    <x v="3"/>
    <x v="5"/>
    <x v="0"/>
    <s v="NA"/>
  </r>
  <r>
    <x v="1"/>
    <x v="2"/>
    <x v="0"/>
    <x v="0"/>
    <x v="6"/>
    <x v="0"/>
    <s v="NA"/>
  </r>
  <r>
    <x v="1"/>
    <x v="2"/>
    <x v="0"/>
    <x v="1"/>
    <x v="6"/>
    <x v="0"/>
    <s v="NA"/>
  </r>
  <r>
    <x v="1"/>
    <x v="2"/>
    <x v="0"/>
    <x v="2"/>
    <x v="6"/>
    <x v="0"/>
    <s v="NA"/>
  </r>
  <r>
    <x v="1"/>
    <x v="2"/>
    <x v="0"/>
    <x v="3"/>
    <x v="6"/>
    <x v="0"/>
    <s v="NA"/>
  </r>
  <r>
    <x v="1"/>
    <x v="2"/>
    <x v="0"/>
    <x v="0"/>
    <x v="7"/>
    <x v="0"/>
    <s v="NA"/>
  </r>
  <r>
    <x v="1"/>
    <x v="2"/>
    <x v="0"/>
    <x v="1"/>
    <x v="7"/>
    <x v="0"/>
    <s v="NA"/>
  </r>
  <r>
    <x v="1"/>
    <x v="2"/>
    <x v="0"/>
    <x v="2"/>
    <x v="7"/>
    <x v="0"/>
    <s v="NA"/>
  </r>
  <r>
    <x v="1"/>
    <x v="2"/>
    <x v="0"/>
    <x v="3"/>
    <x v="7"/>
    <x v="0"/>
    <s v="NA"/>
  </r>
  <r>
    <x v="1"/>
    <x v="2"/>
    <x v="0"/>
    <x v="0"/>
    <x v="8"/>
    <x v="0"/>
    <s v="NA"/>
  </r>
  <r>
    <x v="1"/>
    <x v="2"/>
    <x v="0"/>
    <x v="1"/>
    <x v="8"/>
    <x v="0"/>
    <s v="NA"/>
  </r>
  <r>
    <x v="1"/>
    <x v="2"/>
    <x v="0"/>
    <x v="2"/>
    <x v="8"/>
    <x v="0"/>
    <s v="NA"/>
  </r>
  <r>
    <x v="1"/>
    <x v="2"/>
    <x v="0"/>
    <x v="3"/>
    <x v="8"/>
    <x v="0"/>
    <s v="NA"/>
  </r>
  <r>
    <x v="1"/>
    <x v="2"/>
    <x v="0"/>
    <x v="0"/>
    <x v="9"/>
    <x v="0"/>
    <s v="NA"/>
  </r>
  <r>
    <x v="1"/>
    <x v="2"/>
    <x v="0"/>
    <x v="1"/>
    <x v="9"/>
    <x v="0"/>
    <s v="NA"/>
  </r>
  <r>
    <x v="1"/>
    <x v="2"/>
    <x v="0"/>
    <x v="2"/>
    <x v="9"/>
    <x v="0"/>
    <s v="NA"/>
  </r>
  <r>
    <x v="1"/>
    <x v="2"/>
    <x v="0"/>
    <x v="3"/>
    <x v="9"/>
    <x v="0"/>
    <s v="NA"/>
  </r>
  <r>
    <x v="1"/>
    <x v="2"/>
    <x v="0"/>
    <x v="0"/>
    <x v="10"/>
    <x v="0"/>
    <s v="NA"/>
  </r>
  <r>
    <x v="1"/>
    <x v="2"/>
    <x v="0"/>
    <x v="1"/>
    <x v="10"/>
    <x v="0"/>
    <s v="NA"/>
  </r>
  <r>
    <x v="1"/>
    <x v="2"/>
    <x v="0"/>
    <x v="2"/>
    <x v="10"/>
    <x v="0"/>
    <s v="NA"/>
  </r>
  <r>
    <x v="1"/>
    <x v="2"/>
    <x v="0"/>
    <x v="3"/>
    <x v="10"/>
    <x v="0"/>
    <s v="NA"/>
  </r>
  <r>
    <x v="1"/>
    <x v="2"/>
    <x v="0"/>
    <x v="0"/>
    <x v="13"/>
    <x v="0"/>
    <s v="NA"/>
  </r>
  <r>
    <x v="1"/>
    <x v="2"/>
    <x v="0"/>
    <x v="1"/>
    <x v="13"/>
    <x v="0"/>
    <s v="NA"/>
  </r>
  <r>
    <x v="1"/>
    <x v="2"/>
    <x v="0"/>
    <x v="2"/>
    <x v="13"/>
    <x v="0"/>
    <s v="NA"/>
  </r>
  <r>
    <x v="1"/>
    <x v="2"/>
    <x v="0"/>
    <x v="3"/>
    <x v="13"/>
    <x v="0"/>
    <s v="NA"/>
  </r>
  <r>
    <x v="1"/>
    <x v="2"/>
    <x v="0"/>
    <x v="0"/>
    <x v="12"/>
    <x v="0"/>
    <s v="NA"/>
  </r>
  <r>
    <x v="1"/>
    <x v="2"/>
    <x v="0"/>
    <x v="1"/>
    <x v="12"/>
    <x v="0"/>
    <s v="NA"/>
  </r>
  <r>
    <x v="1"/>
    <x v="2"/>
    <x v="0"/>
    <x v="2"/>
    <x v="12"/>
    <x v="0"/>
    <s v="NA"/>
  </r>
  <r>
    <x v="1"/>
    <x v="2"/>
    <x v="0"/>
    <x v="3"/>
    <x v="12"/>
    <x v="0"/>
    <s v="NA"/>
  </r>
  <r>
    <x v="1"/>
    <x v="2"/>
    <x v="1"/>
    <x v="4"/>
    <x v="2"/>
    <x v="1"/>
    <s v="PD415"/>
  </r>
  <r>
    <x v="1"/>
    <x v="2"/>
    <x v="1"/>
    <x v="4"/>
    <x v="2"/>
    <x v="1"/>
    <s v="PD500"/>
  </r>
  <r>
    <x v="1"/>
    <x v="2"/>
    <x v="1"/>
    <x v="4"/>
    <x v="2"/>
    <x v="1"/>
    <s v="PD620"/>
  </r>
  <r>
    <x v="1"/>
    <x v="2"/>
    <x v="1"/>
    <x v="4"/>
    <x v="2"/>
    <x v="1"/>
    <s v="PU415"/>
  </r>
  <r>
    <x v="1"/>
    <x v="2"/>
    <x v="1"/>
    <x v="4"/>
    <x v="2"/>
    <x v="1"/>
    <s v="PU500"/>
  </r>
  <r>
    <x v="1"/>
    <x v="2"/>
    <x v="1"/>
    <x v="4"/>
    <x v="2"/>
    <x v="1"/>
    <s v="PU620"/>
  </r>
  <r>
    <x v="1"/>
    <x v="2"/>
    <x v="1"/>
    <x v="4"/>
    <x v="2"/>
    <x v="1"/>
    <s v="NONE"/>
  </r>
  <r>
    <x v="1"/>
    <x v="2"/>
    <x v="1"/>
    <x v="4"/>
    <x v="2"/>
    <x v="3"/>
    <s v="PD415"/>
  </r>
  <r>
    <x v="1"/>
    <x v="2"/>
    <x v="1"/>
    <x v="4"/>
    <x v="2"/>
    <x v="3"/>
    <s v="PD500"/>
  </r>
  <r>
    <x v="1"/>
    <x v="2"/>
    <x v="1"/>
    <x v="4"/>
    <x v="2"/>
    <x v="3"/>
    <s v="PD620"/>
  </r>
  <r>
    <x v="1"/>
    <x v="2"/>
    <x v="1"/>
    <x v="4"/>
    <x v="2"/>
    <x v="3"/>
    <s v="PU415"/>
  </r>
  <r>
    <x v="1"/>
    <x v="2"/>
    <x v="1"/>
    <x v="4"/>
    <x v="2"/>
    <x v="3"/>
    <s v="PU500"/>
  </r>
  <r>
    <x v="1"/>
    <x v="2"/>
    <x v="1"/>
    <x v="4"/>
    <x v="2"/>
    <x v="3"/>
    <s v="PU620"/>
  </r>
  <r>
    <x v="1"/>
    <x v="2"/>
    <x v="1"/>
    <x v="4"/>
    <x v="2"/>
    <x v="3"/>
    <s v="NONE"/>
  </r>
  <r>
    <x v="1"/>
    <x v="2"/>
    <x v="1"/>
    <x v="4"/>
    <x v="2"/>
    <x v="4"/>
    <s v="PD415"/>
  </r>
  <r>
    <x v="1"/>
    <x v="2"/>
    <x v="1"/>
    <x v="4"/>
    <x v="2"/>
    <x v="4"/>
    <s v="PD500"/>
  </r>
  <r>
    <x v="1"/>
    <x v="2"/>
    <x v="1"/>
    <x v="4"/>
    <x v="2"/>
    <x v="4"/>
    <s v="PD620"/>
  </r>
  <r>
    <x v="1"/>
    <x v="2"/>
    <x v="1"/>
    <x v="4"/>
    <x v="2"/>
    <x v="4"/>
    <s v="PU415"/>
  </r>
  <r>
    <x v="1"/>
    <x v="2"/>
    <x v="1"/>
    <x v="4"/>
    <x v="2"/>
    <x v="4"/>
    <s v="PU500"/>
  </r>
  <r>
    <x v="1"/>
    <x v="2"/>
    <x v="1"/>
    <x v="4"/>
    <x v="2"/>
    <x v="4"/>
    <s v="PU620"/>
  </r>
  <r>
    <x v="1"/>
    <x v="2"/>
    <x v="1"/>
    <x v="4"/>
    <x v="2"/>
    <x v="4"/>
    <s v="NONE"/>
  </r>
  <r>
    <x v="1"/>
    <x v="2"/>
    <x v="1"/>
    <x v="4"/>
    <x v="2"/>
    <x v="5"/>
    <s v="PD415"/>
  </r>
  <r>
    <x v="1"/>
    <x v="2"/>
    <x v="1"/>
    <x v="4"/>
    <x v="2"/>
    <x v="5"/>
    <s v="PD500"/>
  </r>
  <r>
    <x v="1"/>
    <x v="2"/>
    <x v="1"/>
    <x v="4"/>
    <x v="2"/>
    <x v="5"/>
    <s v="PD620"/>
  </r>
  <r>
    <x v="1"/>
    <x v="2"/>
    <x v="1"/>
    <x v="4"/>
    <x v="2"/>
    <x v="5"/>
    <s v="PU415"/>
  </r>
  <r>
    <x v="1"/>
    <x v="2"/>
    <x v="1"/>
    <x v="4"/>
    <x v="2"/>
    <x v="5"/>
    <s v="PU500"/>
  </r>
  <r>
    <x v="1"/>
    <x v="2"/>
    <x v="1"/>
    <x v="4"/>
    <x v="2"/>
    <x v="5"/>
    <s v="PU620"/>
  </r>
  <r>
    <x v="1"/>
    <x v="2"/>
    <x v="1"/>
    <x v="4"/>
    <x v="2"/>
    <x v="5"/>
    <s v="NONE"/>
  </r>
  <r>
    <x v="1"/>
    <x v="2"/>
    <x v="1"/>
    <x v="4"/>
    <x v="2"/>
    <x v="6"/>
    <s v="PD415"/>
  </r>
  <r>
    <x v="1"/>
    <x v="2"/>
    <x v="1"/>
    <x v="4"/>
    <x v="2"/>
    <x v="6"/>
    <s v="PD500"/>
  </r>
  <r>
    <x v="1"/>
    <x v="2"/>
    <x v="1"/>
    <x v="4"/>
    <x v="2"/>
    <x v="6"/>
    <s v="PD620"/>
  </r>
  <r>
    <x v="1"/>
    <x v="2"/>
    <x v="1"/>
    <x v="4"/>
    <x v="2"/>
    <x v="6"/>
    <s v="PU415"/>
  </r>
  <r>
    <x v="1"/>
    <x v="2"/>
    <x v="1"/>
    <x v="4"/>
    <x v="2"/>
    <x v="6"/>
    <s v="PU500"/>
  </r>
  <r>
    <x v="1"/>
    <x v="2"/>
    <x v="1"/>
    <x v="4"/>
    <x v="2"/>
    <x v="6"/>
    <s v="PU620"/>
  </r>
  <r>
    <x v="1"/>
    <x v="2"/>
    <x v="1"/>
    <x v="4"/>
    <x v="2"/>
    <x v="6"/>
    <s v="NONE"/>
  </r>
  <r>
    <x v="1"/>
    <x v="2"/>
    <x v="1"/>
    <x v="4"/>
    <x v="2"/>
    <x v="7"/>
    <s v="PD415"/>
  </r>
  <r>
    <x v="1"/>
    <x v="2"/>
    <x v="1"/>
    <x v="4"/>
    <x v="2"/>
    <x v="7"/>
    <s v="PD500"/>
  </r>
  <r>
    <x v="1"/>
    <x v="2"/>
    <x v="1"/>
    <x v="4"/>
    <x v="2"/>
    <x v="7"/>
    <s v="PD620"/>
  </r>
  <r>
    <x v="1"/>
    <x v="2"/>
    <x v="1"/>
    <x v="4"/>
    <x v="2"/>
    <x v="7"/>
    <s v="PU415"/>
  </r>
  <r>
    <x v="1"/>
    <x v="2"/>
    <x v="1"/>
    <x v="4"/>
    <x v="2"/>
    <x v="7"/>
    <s v="PU500"/>
  </r>
  <r>
    <x v="1"/>
    <x v="2"/>
    <x v="1"/>
    <x v="4"/>
    <x v="2"/>
    <x v="7"/>
    <s v="PU620"/>
  </r>
  <r>
    <x v="1"/>
    <x v="2"/>
    <x v="1"/>
    <x v="4"/>
    <x v="2"/>
    <x v="7"/>
    <s v="NONE"/>
  </r>
  <r>
    <x v="1"/>
    <x v="2"/>
    <x v="1"/>
    <x v="4"/>
    <x v="2"/>
    <x v="8"/>
    <s v="PD415"/>
  </r>
  <r>
    <x v="1"/>
    <x v="2"/>
    <x v="1"/>
    <x v="4"/>
    <x v="2"/>
    <x v="8"/>
    <s v="PD500"/>
  </r>
  <r>
    <x v="1"/>
    <x v="2"/>
    <x v="1"/>
    <x v="4"/>
    <x v="2"/>
    <x v="8"/>
    <s v="PD620"/>
  </r>
  <r>
    <x v="1"/>
    <x v="2"/>
    <x v="1"/>
    <x v="4"/>
    <x v="2"/>
    <x v="8"/>
    <s v="PU415"/>
  </r>
  <r>
    <x v="1"/>
    <x v="2"/>
    <x v="1"/>
    <x v="4"/>
    <x v="2"/>
    <x v="8"/>
    <s v="PU500"/>
  </r>
  <r>
    <x v="1"/>
    <x v="2"/>
    <x v="1"/>
    <x v="4"/>
    <x v="2"/>
    <x v="8"/>
    <s v="PU620"/>
  </r>
  <r>
    <x v="1"/>
    <x v="2"/>
    <x v="1"/>
    <x v="4"/>
    <x v="2"/>
    <x v="8"/>
    <s v="NONE"/>
  </r>
  <r>
    <x v="2"/>
    <x v="0"/>
    <x v="0"/>
    <x v="1"/>
    <x v="0"/>
    <x v="0"/>
    <s v="NA"/>
  </r>
  <r>
    <x v="2"/>
    <x v="0"/>
    <x v="0"/>
    <x v="2"/>
    <x v="0"/>
    <x v="0"/>
    <s v="NA"/>
  </r>
  <r>
    <x v="2"/>
    <x v="0"/>
    <x v="0"/>
    <x v="3"/>
    <x v="0"/>
    <x v="0"/>
    <s v="NA"/>
  </r>
  <r>
    <x v="2"/>
    <x v="0"/>
    <x v="0"/>
    <x v="0"/>
    <x v="0"/>
    <x v="0"/>
    <s v="NA"/>
  </r>
  <r>
    <x v="2"/>
    <x v="0"/>
    <x v="0"/>
    <x v="1"/>
    <x v="3"/>
    <x v="0"/>
    <s v="NA"/>
  </r>
  <r>
    <x v="2"/>
    <x v="0"/>
    <x v="0"/>
    <x v="2"/>
    <x v="3"/>
    <x v="0"/>
    <s v="NA"/>
  </r>
  <r>
    <x v="2"/>
    <x v="0"/>
    <x v="0"/>
    <x v="3"/>
    <x v="3"/>
    <x v="0"/>
    <s v="NA"/>
  </r>
  <r>
    <x v="2"/>
    <x v="0"/>
    <x v="0"/>
    <x v="0"/>
    <x v="3"/>
    <x v="0"/>
    <s v="NA"/>
  </r>
  <r>
    <x v="2"/>
    <x v="1"/>
    <x v="0"/>
    <x v="0"/>
    <x v="0"/>
    <x v="0"/>
    <s v="NA"/>
  </r>
  <r>
    <x v="2"/>
    <x v="1"/>
    <x v="0"/>
    <x v="1"/>
    <x v="0"/>
    <x v="0"/>
    <s v="NA"/>
  </r>
  <r>
    <x v="2"/>
    <x v="1"/>
    <x v="0"/>
    <x v="2"/>
    <x v="0"/>
    <x v="0"/>
    <s v="NA"/>
  </r>
  <r>
    <x v="2"/>
    <x v="1"/>
    <x v="0"/>
    <x v="3"/>
    <x v="0"/>
    <x v="0"/>
    <s v="NA"/>
  </r>
  <r>
    <x v="2"/>
    <x v="1"/>
    <x v="0"/>
    <x v="0"/>
    <x v="3"/>
    <x v="0"/>
    <s v="NA"/>
  </r>
  <r>
    <x v="2"/>
    <x v="1"/>
    <x v="0"/>
    <x v="1"/>
    <x v="3"/>
    <x v="0"/>
    <s v="NA"/>
  </r>
  <r>
    <x v="2"/>
    <x v="1"/>
    <x v="0"/>
    <x v="2"/>
    <x v="3"/>
    <x v="0"/>
    <s v="NA"/>
  </r>
  <r>
    <x v="2"/>
    <x v="1"/>
    <x v="0"/>
    <x v="3"/>
    <x v="3"/>
    <x v="0"/>
    <s v="NA"/>
  </r>
  <r>
    <x v="2"/>
    <x v="1"/>
    <x v="1"/>
    <x v="4"/>
    <x v="2"/>
    <x v="1"/>
    <s v="NONE"/>
  </r>
  <r>
    <x v="2"/>
    <x v="1"/>
    <x v="1"/>
    <x v="4"/>
    <x v="2"/>
    <x v="3"/>
    <s v="NONE"/>
  </r>
  <r>
    <x v="2"/>
    <x v="1"/>
    <x v="1"/>
    <x v="4"/>
    <x v="2"/>
    <x v="5"/>
    <s v="NONE"/>
  </r>
  <r>
    <x v="2"/>
    <x v="1"/>
    <x v="1"/>
    <x v="4"/>
    <x v="2"/>
    <x v="7"/>
    <s v="NONE"/>
  </r>
  <r>
    <x v="2"/>
    <x v="2"/>
    <x v="0"/>
    <x v="0"/>
    <x v="0"/>
    <x v="0"/>
    <s v="NA"/>
  </r>
  <r>
    <x v="2"/>
    <x v="2"/>
    <x v="0"/>
    <x v="1"/>
    <x v="0"/>
    <x v="0"/>
    <s v="NA"/>
  </r>
  <r>
    <x v="2"/>
    <x v="2"/>
    <x v="0"/>
    <x v="2"/>
    <x v="0"/>
    <x v="0"/>
    <s v="NA"/>
  </r>
  <r>
    <x v="2"/>
    <x v="2"/>
    <x v="0"/>
    <x v="3"/>
    <x v="0"/>
    <x v="0"/>
    <s v="NA"/>
  </r>
  <r>
    <x v="2"/>
    <x v="2"/>
    <x v="0"/>
    <x v="0"/>
    <x v="3"/>
    <x v="0"/>
    <s v="NA"/>
  </r>
  <r>
    <x v="2"/>
    <x v="2"/>
    <x v="0"/>
    <x v="1"/>
    <x v="3"/>
    <x v="0"/>
    <s v="NA"/>
  </r>
  <r>
    <x v="2"/>
    <x v="2"/>
    <x v="0"/>
    <x v="2"/>
    <x v="3"/>
    <x v="0"/>
    <s v="NA"/>
  </r>
  <r>
    <x v="2"/>
    <x v="2"/>
    <x v="0"/>
    <x v="3"/>
    <x v="3"/>
    <x v="0"/>
    <s v="NA"/>
  </r>
  <r>
    <x v="2"/>
    <x v="2"/>
    <x v="1"/>
    <x v="4"/>
    <x v="2"/>
    <x v="1"/>
    <s v="PD415"/>
  </r>
  <r>
    <x v="2"/>
    <x v="2"/>
    <x v="1"/>
    <x v="4"/>
    <x v="2"/>
    <x v="1"/>
    <s v="PD500"/>
  </r>
  <r>
    <x v="2"/>
    <x v="2"/>
    <x v="1"/>
    <x v="4"/>
    <x v="2"/>
    <x v="1"/>
    <s v="PD620"/>
  </r>
  <r>
    <x v="2"/>
    <x v="2"/>
    <x v="1"/>
    <x v="4"/>
    <x v="2"/>
    <x v="1"/>
    <s v="PU415"/>
  </r>
  <r>
    <x v="2"/>
    <x v="2"/>
    <x v="1"/>
    <x v="4"/>
    <x v="2"/>
    <x v="1"/>
    <s v="PU500"/>
  </r>
  <r>
    <x v="2"/>
    <x v="2"/>
    <x v="1"/>
    <x v="4"/>
    <x v="2"/>
    <x v="1"/>
    <s v="PU620"/>
  </r>
  <r>
    <x v="2"/>
    <x v="2"/>
    <x v="1"/>
    <x v="4"/>
    <x v="2"/>
    <x v="1"/>
    <s v="OFF"/>
  </r>
  <r>
    <x v="2"/>
    <x v="2"/>
    <x v="1"/>
    <x v="4"/>
    <x v="2"/>
    <x v="3"/>
    <s v="PD415"/>
  </r>
  <r>
    <x v="2"/>
    <x v="2"/>
    <x v="1"/>
    <x v="4"/>
    <x v="2"/>
    <x v="3"/>
    <s v="PD500"/>
  </r>
  <r>
    <x v="2"/>
    <x v="2"/>
    <x v="1"/>
    <x v="4"/>
    <x v="2"/>
    <x v="3"/>
    <s v="PD620"/>
  </r>
  <r>
    <x v="2"/>
    <x v="2"/>
    <x v="1"/>
    <x v="4"/>
    <x v="2"/>
    <x v="3"/>
    <s v="PU415"/>
  </r>
  <r>
    <x v="2"/>
    <x v="2"/>
    <x v="1"/>
    <x v="4"/>
    <x v="2"/>
    <x v="3"/>
    <s v="PU500"/>
  </r>
  <r>
    <x v="2"/>
    <x v="2"/>
    <x v="1"/>
    <x v="4"/>
    <x v="2"/>
    <x v="3"/>
    <s v="PU620"/>
  </r>
  <r>
    <x v="2"/>
    <x v="2"/>
    <x v="1"/>
    <x v="4"/>
    <x v="2"/>
    <x v="3"/>
    <s v="OFF"/>
  </r>
  <r>
    <x v="2"/>
    <x v="2"/>
    <x v="1"/>
    <x v="4"/>
    <x v="2"/>
    <x v="5"/>
    <s v="PD415"/>
  </r>
  <r>
    <x v="2"/>
    <x v="2"/>
    <x v="1"/>
    <x v="4"/>
    <x v="2"/>
    <x v="5"/>
    <s v="PD500"/>
  </r>
  <r>
    <x v="2"/>
    <x v="2"/>
    <x v="1"/>
    <x v="4"/>
    <x v="2"/>
    <x v="5"/>
    <s v="PD620"/>
  </r>
  <r>
    <x v="2"/>
    <x v="2"/>
    <x v="1"/>
    <x v="4"/>
    <x v="2"/>
    <x v="5"/>
    <s v="PU415"/>
  </r>
  <r>
    <x v="2"/>
    <x v="2"/>
    <x v="1"/>
    <x v="4"/>
    <x v="2"/>
    <x v="5"/>
    <s v="PU500"/>
  </r>
  <r>
    <x v="2"/>
    <x v="2"/>
    <x v="1"/>
    <x v="4"/>
    <x v="2"/>
    <x v="5"/>
    <s v="PU620"/>
  </r>
  <r>
    <x v="2"/>
    <x v="2"/>
    <x v="1"/>
    <x v="4"/>
    <x v="2"/>
    <x v="5"/>
    <s v="OFF"/>
  </r>
  <r>
    <x v="2"/>
    <x v="2"/>
    <x v="1"/>
    <x v="4"/>
    <x v="2"/>
    <x v="7"/>
    <s v="PD415"/>
  </r>
  <r>
    <x v="2"/>
    <x v="2"/>
    <x v="1"/>
    <x v="4"/>
    <x v="2"/>
    <x v="7"/>
    <s v="PD500"/>
  </r>
  <r>
    <x v="2"/>
    <x v="2"/>
    <x v="1"/>
    <x v="4"/>
    <x v="2"/>
    <x v="7"/>
    <s v="PD620"/>
  </r>
  <r>
    <x v="2"/>
    <x v="2"/>
    <x v="1"/>
    <x v="4"/>
    <x v="2"/>
    <x v="7"/>
    <s v="PU415"/>
  </r>
  <r>
    <x v="2"/>
    <x v="2"/>
    <x v="1"/>
    <x v="4"/>
    <x v="2"/>
    <x v="7"/>
    <s v="PU500"/>
  </r>
  <r>
    <x v="2"/>
    <x v="2"/>
    <x v="1"/>
    <x v="4"/>
    <x v="2"/>
    <x v="7"/>
    <s v="PU620"/>
  </r>
  <r>
    <x v="2"/>
    <x v="2"/>
    <x v="1"/>
    <x v="4"/>
    <x v="2"/>
    <x v="7"/>
    <s v="OFF"/>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A00-000000000000}" name="PivotTable1" cacheId="1"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P18:R35" firstHeaderRow="1" firstDataRow="1" firstDataCol="0"/>
  <pivotFields count="7">
    <pivotField showAll="0"/>
    <pivotField showAll="0"/>
    <pivotField showAll="0"/>
    <pivotField showAll="0"/>
    <pivotField showAll="0"/>
    <pivotField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omments" Target="../comments1.xml"/><Relationship Id="rId2" Type="http://schemas.openxmlformats.org/officeDocument/2006/relationships/printerSettings" Target="../printerSettings/printerSettings2.bin"/><Relationship Id="rId1" Type="http://schemas.openxmlformats.org/officeDocument/2006/relationships/hyperlink" Target="http://www.ti.com/lit/pdf/spracj0"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3.bin"/><Relationship Id="rId1" Type="http://schemas.openxmlformats.org/officeDocument/2006/relationships/hyperlink" Target="http://www.ti.com/lit/pdf/spracj0" TargetMode="External"/><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www.ti.com/lit/pdf/spracj0"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trlProp" Target="../ctrlProps/ctrlProp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9.bin"/><Relationship Id="rId4" Type="http://schemas.openxmlformats.org/officeDocument/2006/relationships/ctrlProp" Target="../ctrlProps/ctrlProp4.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10.bin"/><Relationship Id="rId4" Type="http://schemas.openxmlformats.org/officeDocument/2006/relationships/ctrlProp" Target="../ctrlProps/ctrlProp5.xm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rgb="FFF9B073"/>
  </sheetPr>
  <dimension ref="B1:R69"/>
  <sheetViews>
    <sheetView topLeftCell="B1" zoomScale="115" zoomScaleNormal="115" workbookViewId="0">
      <pane ySplit="10" topLeftCell="A44" activePane="bottomLeft" state="frozen"/>
      <selection pane="bottomLeft" activeCell="E51" sqref="E51:P51"/>
    </sheetView>
  </sheetViews>
  <sheetFormatPr defaultColWidth="9.140625" defaultRowHeight="12.75"/>
  <cols>
    <col min="1" max="15" width="9.140625" style="40"/>
    <col min="16" max="16" width="24.42578125" style="40" customWidth="1"/>
    <col min="17" max="17" width="9.140625" style="40"/>
    <col min="18" max="18" width="22.28515625" style="40" customWidth="1"/>
    <col min="19" max="16384" width="9.140625" style="40"/>
  </cols>
  <sheetData>
    <row r="1" spans="2:18" ht="12.75" customHeight="1">
      <c r="B1" s="442" t="s">
        <v>1345</v>
      </c>
      <c r="C1" s="443"/>
      <c r="D1" s="443"/>
      <c r="E1" s="443"/>
      <c r="F1" s="443"/>
      <c r="G1" s="443"/>
      <c r="H1" s="443"/>
      <c r="I1" s="443"/>
      <c r="J1" s="443"/>
      <c r="K1" s="443"/>
      <c r="L1" s="443"/>
      <c r="M1" s="443"/>
      <c r="N1" s="443"/>
      <c r="O1" s="443"/>
      <c r="P1" s="443"/>
      <c r="Q1" s="443"/>
      <c r="R1" s="444"/>
    </row>
    <row r="2" spans="2:18" ht="12.75" customHeight="1">
      <c r="B2" s="442"/>
      <c r="C2" s="443"/>
      <c r="D2" s="443"/>
      <c r="E2" s="443"/>
      <c r="F2" s="443"/>
      <c r="G2" s="443"/>
      <c r="H2" s="443"/>
      <c r="I2" s="443"/>
      <c r="J2" s="443"/>
      <c r="K2" s="443"/>
      <c r="L2" s="443"/>
      <c r="M2" s="443"/>
      <c r="N2" s="443"/>
      <c r="O2" s="443"/>
      <c r="P2" s="443"/>
      <c r="Q2" s="443"/>
      <c r="R2" s="444"/>
    </row>
    <row r="3" spans="2:18" ht="12.75" customHeight="1">
      <c r="B3" s="442"/>
      <c r="C3" s="443"/>
      <c r="D3" s="443"/>
      <c r="E3" s="443"/>
      <c r="F3" s="443"/>
      <c r="G3" s="443"/>
      <c r="H3" s="443"/>
      <c r="I3" s="443"/>
      <c r="J3" s="443"/>
      <c r="K3" s="443"/>
      <c r="L3" s="443"/>
      <c r="M3" s="443"/>
      <c r="N3" s="443"/>
      <c r="O3" s="443"/>
      <c r="P3" s="443"/>
      <c r="Q3" s="443"/>
      <c r="R3" s="444"/>
    </row>
    <row r="4" spans="2:18" ht="12.75" customHeight="1">
      <c r="B4" s="442"/>
      <c r="C4" s="443"/>
      <c r="D4" s="443"/>
      <c r="E4" s="443"/>
      <c r="F4" s="443"/>
      <c r="G4" s="443"/>
      <c r="H4" s="443"/>
      <c r="I4" s="443"/>
      <c r="J4" s="443"/>
      <c r="K4" s="443"/>
      <c r="L4" s="443"/>
      <c r="M4" s="443"/>
      <c r="N4" s="443"/>
      <c r="O4" s="443"/>
      <c r="P4" s="443"/>
      <c r="Q4" s="443"/>
      <c r="R4" s="444"/>
    </row>
    <row r="5" spans="2:18">
      <c r="B5" s="445" t="s">
        <v>104</v>
      </c>
      <c r="C5" s="446"/>
      <c r="D5" s="446"/>
      <c r="E5" s="446"/>
      <c r="F5" s="446"/>
      <c r="G5" s="446"/>
      <c r="H5" s="446"/>
      <c r="I5" s="446"/>
      <c r="J5" s="446"/>
      <c r="K5" s="446"/>
      <c r="L5" s="446"/>
      <c r="M5" s="446"/>
      <c r="N5" s="446"/>
      <c r="O5" s="446"/>
      <c r="P5" s="446"/>
      <c r="Q5" s="446"/>
      <c r="R5" s="446"/>
    </row>
    <row r="6" spans="2:18">
      <c r="B6" s="446"/>
      <c r="C6" s="446"/>
      <c r="D6" s="446"/>
      <c r="E6" s="446"/>
      <c r="F6" s="446"/>
      <c r="G6" s="446"/>
      <c r="H6" s="446"/>
      <c r="I6" s="446"/>
      <c r="J6" s="446"/>
      <c r="K6" s="446"/>
      <c r="L6" s="446"/>
      <c r="M6" s="446"/>
      <c r="N6" s="446"/>
      <c r="O6" s="446"/>
      <c r="P6" s="446"/>
      <c r="Q6" s="446"/>
      <c r="R6" s="446"/>
    </row>
    <row r="7" spans="2:18">
      <c r="B7" s="445" t="str">
        <f ca="1">TEXT(TODAY(),"mmmm d,yyyy")</f>
        <v>September 13,2021</v>
      </c>
      <c r="C7" s="446"/>
      <c r="D7" s="446"/>
      <c r="E7" s="446"/>
      <c r="F7" s="446"/>
      <c r="G7" s="446"/>
      <c r="H7" s="446"/>
      <c r="I7" s="446"/>
      <c r="J7" s="446"/>
      <c r="K7" s="446"/>
      <c r="L7" s="446"/>
      <c r="M7" s="446"/>
      <c r="N7" s="446"/>
      <c r="O7" s="446"/>
      <c r="P7" s="446"/>
      <c r="Q7" s="446"/>
      <c r="R7" s="446"/>
    </row>
    <row r="8" spans="2:18">
      <c r="B8" s="446"/>
      <c r="C8" s="446"/>
      <c r="D8" s="446"/>
      <c r="E8" s="446"/>
      <c r="F8" s="446"/>
      <c r="G8" s="446"/>
      <c r="H8" s="446"/>
      <c r="I8" s="446"/>
      <c r="J8" s="446"/>
      <c r="K8" s="446"/>
      <c r="L8" s="446"/>
      <c r="M8" s="446"/>
      <c r="N8" s="446"/>
      <c r="O8" s="446"/>
      <c r="P8" s="446"/>
      <c r="Q8" s="446"/>
      <c r="R8" s="446"/>
    </row>
    <row r="9" spans="2:18">
      <c r="B9" s="447"/>
      <c r="C9" s="447"/>
      <c r="D9" s="447"/>
      <c r="E9" s="447"/>
      <c r="F9" s="447"/>
      <c r="G9" s="447"/>
      <c r="H9" s="447"/>
      <c r="I9" s="447"/>
      <c r="J9" s="447"/>
      <c r="K9" s="447"/>
      <c r="L9" s="447"/>
      <c r="M9" s="447"/>
      <c r="N9" s="447"/>
      <c r="O9" s="447"/>
      <c r="P9" s="447"/>
      <c r="Q9" s="447"/>
      <c r="R9" s="447"/>
    </row>
    <row r="10" spans="2:18">
      <c r="B10" s="447"/>
      <c r="C10" s="447"/>
      <c r="D10" s="447"/>
      <c r="E10" s="447"/>
      <c r="F10" s="447"/>
      <c r="G10" s="447"/>
      <c r="H10" s="447"/>
      <c r="I10" s="447"/>
      <c r="J10" s="447"/>
      <c r="K10" s="447"/>
      <c r="L10" s="447"/>
      <c r="M10" s="447"/>
      <c r="N10" s="447"/>
      <c r="O10" s="447"/>
      <c r="P10" s="447"/>
      <c r="Q10" s="447"/>
      <c r="R10" s="447"/>
    </row>
    <row r="11" spans="2:18" ht="13.5" thickBot="1">
      <c r="D11" s="41"/>
      <c r="E11" s="41"/>
      <c r="F11" s="41"/>
      <c r="G11" s="41"/>
      <c r="H11" s="41"/>
      <c r="I11" s="41"/>
      <c r="J11" s="41"/>
      <c r="K11" s="41"/>
      <c r="L11" s="41"/>
      <c r="M11" s="41"/>
      <c r="N11" s="41"/>
      <c r="O11" s="41"/>
      <c r="P11" s="41"/>
    </row>
    <row r="12" spans="2:18" ht="14.25" hidden="1" thickTop="1" thickBot="1">
      <c r="C12" s="42"/>
      <c r="D12" s="448" t="s">
        <v>105</v>
      </c>
      <c r="E12" s="449"/>
      <c r="F12" s="449"/>
      <c r="G12" s="449"/>
      <c r="H12" s="449"/>
      <c r="I12" s="449"/>
      <c r="J12" s="449"/>
      <c r="K12" s="449"/>
      <c r="L12" s="449"/>
      <c r="M12" s="449"/>
      <c r="N12" s="449"/>
      <c r="O12" s="449"/>
      <c r="P12" s="450"/>
      <c r="Q12" s="43"/>
    </row>
    <row r="13" spans="2:18" ht="14.25" hidden="1" thickTop="1" thickBot="1">
      <c r="C13" s="42"/>
      <c r="D13" s="44"/>
      <c r="E13" s="45" t="s">
        <v>106</v>
      </c>
      <c r="F13" s="46"/>
      <c r="G13" s="46"/>
      <c r="H13" s="46"/>
      <c r="I13" s="46"/>
      <c r="J13" s="46"/>
      <c r="K13" s="46"/>
      <c r="L13" s="46"/>
      <c r="M13" s="46"/>
      <c r="N13" s="46"/>
      <c r="O13" s="46"/>
      <c r="P13" s="47"/>
      <c r="Q13" s="43"/>
    </row>
    <row r="14" spans="2:18" ht="13.5" hidden="1" customHeight="1">
      <c r="C14" s="42"/>
      <c r="D14" s="48"/>
      <c r="E14" s="49"/>
      <c r="F14" s="49"/>
      <c r="G14" s="49"/>
      <c r="H14" s="49"/>
      <c r="I14" s="49"/>
      <c r="J14" s="49"/>
      <c r="K14" s="49"/>
      <c r="L14" s="49"/>
      <c r="M14" s="49"/>
      <c r="N14" s="49"/>
      <c r="O14" s="49"/>
      <c r="P14" s="50"/>
      <c r="Q14" s="43"/>
    </row>
    <row r="15" spans="2:18" ht="13.5" hidden="1" customHeight="1">
      <c r="C15" s="42"/>
      <c r="D15" s="48"/>
      <c r="E15" s="49"/>
      <c r="F15" s="49"/>
      <c r="G15" s="49"/>
      <c r="H15" s="49"/>
      <c r="I15" s="49"/>
      <c r="J15" s="49"/>
      <c r="K15" s="49"/>
      <c r="L15" s="49"/>
      <c r="M15" s="49"/>
      <c r="N15" s="49"/>
      <c r="O15" s="49"/>
      <c r="P15" s="50"/>
      <c r="Q15" s="43"/>
    </row>
    <row r="16" spans="2:18" ht="14.25" hidden="1" thickTop="1" thickBot="1">
      <c r="C16" s="42"/>
      <c r="D16" s="48"/>
      <c r="E16" s="49"/>
      <c r="F16" s="49"/>
      <c r="G16" s="49"/>
      <c r="H16" s="49"/>
      <c r="I16" s="49"/>
      <c r="J16" s="49"/>
      <c r="K16" s="49"/>
      <c r="L16" s="49"/>
      <c r="M16" s="49"/>
      <c r="N16" s="49"/>
      <c r="O16" s="49"/>
      <c r="P16" s="50"/>
      <c r="Q16" s="43"/>
    </row>
    <row r="17" spans="2:18" ht="17.25" thickTop="1" thickBot="1">
      <c r="B17" s="51"/>
      <c r="C17" s="52"/>
      <c r="D17" s="439" t="s">
        <v>107</v>
      </c>
      <c r="E17" s="440"/>
      <c r="F17" s="440"/>
      <c r="G17" s="440"/>
      <c r="H17" s="440"/>
      <c r="I17" s="440"/>
      <c r="J17" s="440"/>
      <c r="K17" s="440"/>
      <c r="L17" s="440"/>
      <c r="M17" s="440"/>
      <c r="N17" s="440"/>
      <c r="O17" s="440"/>
      <c r="P17" s="441"/>
      <c r="Q17" s="53"/>
      <c r="R17" s="51"/>
    </row>
    <row r="18" spans="2:18" ht="13.5" thickTop="1">
      <c r="B18" s="51"/>
      <c r="C18" s="52"/>
      <c r="D18" s="451" t="s">
        <v>108</v>
      </c>
      <c r="E18" s="452"/>
      <c r="F18" s="452"/>
      <c r="G18" s="453"/>
      <c r="H18" s="454" t="s">
        <v>1343</v>
      </c>
      <c r="I18" s="455"/>
      <c r="J18" s="455"/>
      <c r="K18" s="455"/>
      <c r="L18" s="455"/>
      <c r="M18" s="455"/>
      <c r="N18" s="455"/>
      <c r="O18" s="455"/>
      <c r="P18" s="456"/>
      <c r="Q18" s="53"/>
      <c r="R18" s="51"/>
    </row>
    <row r="19" spans="2:18" ht="13.5" thickBot="1">
      <c r="B19" s="54"/>
      <c r="C19" s="55"/>
      <c r="D19" s="457" t="s">
        <v>109</v>
      </c>
      <c r="E19" s="458"/>
      <c r="F19" s="458"/>
      <c r="G19" s="459"/>
      <c r="H19" s="460" t="s">
        <v>1344</v>
      </c>
      <c r="I19" s="461"/>
      <c r="J19" s="461"/>
      <c r="K19" s="461"/>
      <c r="L19" s="461"/>
      <c r="M19" s="461"/>
      <c r="N19" s="461"/>
      <c r="O19" s="461"/>
      <c r="P19" s="462"/>
      <c r="Q19" s="56"/>
      <c r="R19" s="54"/>
    </row>
    <row r="20" spans="2:18" ht="14.25" thickTop="1" thickBot="1">
      <c r="C20" s="57"/>
      <c r="D20" s="439" t="s">
        <v>112</v>
      </c>
      <c r="E20" s="440"/>
      <c r="F20" s="440"/>
      <c r="G20" s="440"/>
      <c r="H20" s="440"/>
      <c r="I20" s="440"/>
      <c r="J20" s="440"/>
      <c r="K20" s="440"/>
      <c r="L20" s="440"/>
      <c r="M20" s="440"/>
      <c r="N20" s="440"/>
      <c r="O20" s="440"/>
      <c r="P20" s="441"/>
      <c r="Q20" s="43"/>
    </row>
    <row r="21" spans="2:18" ht="13.5" thickTop="1">
      <c r="C21" s="58"/>
      <c r="D21" s="59" t="s">
        <v>93</v>
      </c>
      <c r="E21" s="49" t="s">
        <v>1497</v>
      </c>
      <c r="F21" s="49"/>
      <c r="G21" s="49"/>
      <c r="H21" s="49"/>
      <c r="I21" s="49"/>
      <c r="J21" s="49"/>
      <c r="K21" s="49"/>
      <c r="L21" s="49"/>
      <c r="M21" s="49"/>
      <c r="N21" s="49"/>
      <c r="O21" s="49"/>
      <c r="P21" s="50"/>
      <c r="Q21" s="43"/>
    </row>
    <row r="22" spans="2:18">
      <c r="C22" s="58"/>
      <c r="D22" s="59"/>
      <c r="E22" s="49"/>
      <c r="F22" s="49"/>
      <c r="G22" s="49"/>
      <c r="H22" s="49"/>
      <c r="I22" s="49"/>
      <c r="J22" s="49"/>
      <c r="K22" s="49"/>
      <c r="L22" s="49"/>
      <c r="M22" s="49"/>
      <c r="N22" s="49"/>
      <c r="O22" s="49"/>
      <c r="P22" s="50"/>
      <c r="Q22" s="43"/>
    </row>
    <row r="23" spans="2:18" ht="13.5" thickBot="1">
      <c r="C23" s="58"/>
      <c r="D23" s="59"/>
      <c r="E23" s="49"/>
      <c r="F23" s="49"/>
      <c r="G23" s="49"/>
      <c r="H23" s="49"/>
      <c r="I23" s="49"/>
      <c r="J23" s="49"/>
      <c r="K23" s="49"/>
      <c r="L23" s="49"/>
      <c r="M23" s="49"/>
      <c r="N23" s="49"/>
      <c r="O23" s="49"/>
      <c r="P23" s="50"/>
      <c r="Q23" s="43"/>
    </row>
    <row r="24" spans="2:18" ht="14.25" thickTop="1" thickBot="1">
      <c r="C24" s="60"/>
      <c r="D24" s="439" t="s">
        <v>110</v>
      </c>
      <c r="E24" s="440"/>
      <c r="F24" s="440"/>
      <c r="G24" s="440"/>
      <c r="H24" s="440"/>
      <c r="I24" s="440"/>
      <c r="J24" s="440"/>
      <c r="K24" s="440"/>
      <c r="L24" s="440"/>
      <c r="M24" s="440"/>
      <c r="N24" s="440"/>
      <c r="O24" s="440"/>
      <c r="P24" s="441"/>
      <c r="Q24" s="43"/>
    </row>
    <row r="25" spans="2:18" ht="14.25" thickTop="1" thickBot="1">
      <c r="C25" s="42"/>
      <c r="D25" s="61" t="s">
        <v>93</v>
      </c>
      <c r="E25" s="62" t="s">
        <v>111</v>
      </c>
      <c r="F25" s="62"/>
      <c r="G25" s="62"/>
      <c r="H25" s="62"/>
      <c r="I25" s="62"/>
      <c r="J25" s="62"/>
      <c r="K25" s="62"/>
      <c r="L25" s="62"/>
      <c r="M25" s="62"/>
      <c r="N25" s="62"/>
      <c r="O25" s="62"/>
      <c r="P25" s="63"/>
      <c r="Q25" s="43"/>
    </row>
    <row r="26" spans="2:18" ht="13.5" thickTop="1">
      <c r="C26" s="64"/>
      <c r="D26" s="65" t="s">
        <v>113</v>
      </c>
      <c r="E26" s="66"/>
      <c r="F26" s="66"/>
      <c r="G26" s="66"/>
      <c r="H26" s="66"/>
      <c r="I26" s="66"/>
      <c r="J26" s="66"/>
      <c r="K26" s="66"/>
      <c r="L26" s="66"/>
      <c r="M26" s="66"/>
      <c r="N26" s="66"/>
      <c r="O26" s="66"/>
      <c r="P26" s="66"/>
    </row>
    <row r="27" spans="2:18">
      <c r="C27" s="58"/>
      <c r="D27" s="67"/>
    </row>
    <row r="28" spans="2:18" ht="13.5" thickBot="1">
      <c r="C28" s="58"/>
      <c r="D28" s="424" t="s">
        <v>115</v>
      </c>
      <c r="E28" s="425"/>
      <c r="F28" s="425"/>
      <c r="G28" s="425"/>
      <c r="H28" s="425"/>
      <c r="I28" s="425"/>
      <c r="J28" s="425"/>
      <c r="K28" s="425"/>
      <c r="L28" s="425"/>
      <c r="M28" s="425"/>
      <c r="N28" s="425"/>
      <c r="O28" s="425"/>
      <c r="P28" s="426"/>
    </row>
    <row r="29" spans="2:18" ht="13.5" thickTop="1">
      <c r="C29" s="69"/>
      <c r="D29" s="371" t="s">
        <v>114</v>
      </c>
      <c r="E29" s="421" t="s">
        <v>24</v>
      </c>
      <c r="F29" s="422"/>
      <c r="G29" s="422"/>
      <c r="H29" s="422"/>
      <c r="I29" s="422"/>
      <c r="J29" s="422"/>
      <c r="K29" s="422"/>
      <c r="L29" s="422"/>
      <c r="M29" s="422"/>
      <c r="N29" s="422"/>
      <c r="O29" s="422"/>
      <c r="P29" s="423"/>
      <c r="Q29" s="43"/>
    </row>
    <row r="30" spans="2:18" ht="14.25" customHeight="1">
      <c r="C30" s="69"/>
      <c r="D30" s="372" t="s">
        <v>1531</v>
      </c>
      <c r="E30" s="427" t="s">
        <v>116</v>
      </c>
      <c r="F30" s="428"/>
      <c r="G30" s="428"/>
      <c r="H30" s="428"/>
      <c r="I30" s="428"/>
      <c r="J30" s="428"/>
      <c r="K30" s="428"/>
      <c r="L30" s="428"/>
      <c r="M30" s="428"/>
      <c r="N30" s="428"/>
      <c r="O30" s="428"/>
      <c r="P30" s="429"/>
      <c r="Q30" s="43"/>
    </row>
    <row r="31" spans="2:18" ht="120.75" customHeight="1">
      <c r="C31" s="69"/>
      <c r="D31" s="372" t="s">
        <v>1532</v>
      </c>
      <c r="E31" s="418" t="s">
        <v>1479</v>
      </c>
      <c r="F31" s="419"/>
      <c r="G31" s="419"/>
      <c r="H31" s="419"/>
      <c r="I31" s="419"/>
      <c r="J31" s="419"/>
      <c r="K31" s="419"/>
      <c r="L31" s="419"/>
      <c r="M31" s="419"/>
      <c r="N31" s="419"/>
      <c r="O31" s="419"/>
      <c r="P31" s="420"/>
      <c r="Q31" s="43"/>
    </row>
    <row r="32" spans="2:18" ht="66.75" customHeight="1">
      <c r="C32" s="69"/>
      <c r="D32" s="372" t="s">
        <v>1533</v>
      </c>
      <c r="E32" s="418" t="s">
        <v>1499</v>
      </c>
      <c r="F32" s="419"/>
      <c r="G32" s="419"/>
      <c r="H32" s="419"/>
      <c r="I32" s="419"/>
      <c r="J32" s="419"/>
      <c r="K32" s="419"/>
      <c r="L32" s="419"/>
      <c r="M32" s="419"/>
      <c r="N32" s="419"/>
      <c r="O32" s="419"/>
      <c r="P32" s="420"/>
      <c r="Q32" s="43"/>
    </row>
    <row r="33" spans="3:17">
      <c r="C33" s="69"/>
      <c r="D33" s="372" t="s">
        <v>1534</v>
      </c>
      <c r="E33" s="416" t="s">
        <v>1509</v>
      </c>
      <c r="F33" s="416"/>
      <c r="G33" s="416"/>
      <c r="H33" s="416"/>
      <c r="I33" s="416"/>
      <c r="J33" s="416"/>
      <c r="K33" s="416"/>
      <c r="L33" s="416"/>
      <c r="M33" s="416"/>
      <c r="N33" s="416"/>
      <c r="O33" s="416"/>
      <c r="P33" s="417"/>
      <c r="Q33" s="43"/>
    </row>
    <row r="34" spans="3:17">
      <c r="C34" s="69"/>
      <c r="D34" s="372" t="s">
        <v>1535</v>
      </c>
      <c r="E34" s="416" t="s">
        <v>1511</v>
      </c>
      <c r="F34" s="416"/>
      <c r="G34" s="416"/>
      <c r="H34" s="416"/>
      <c r="I34" s="416"/>
      <c r="J34" s="416"/>
      <c r="K34" s="416"/>
      <c r="L34" s="416"/>
      <c r="M34" s="416"/>
      <c r="N34" s="416"/>
      <c r="O34" s="416"/>
      <c r="P34" s="417"/>
      <c r="Q34" s="43"/>
    </row>
    <row r="35" spans="3:17">
      <c r="C35" s="69"/>
      <c r="D35" s="372" t="s">
        <v>1536</v>
      </c>
      <c r="E35" s="416" t="s">
        <v>1512</v>
      </c>
      <c r="F35" s="416"/>
      <c r="G35" s="416"/>
      <c r="H35" s="416"/>
      <c r="I35" s="416"/>
      <c r="J35" s="416"/>
      <c r="K35" s="416"/>
      <c r="L35" s="416"/>
      <c r="M35" s="416"/>
      <c r="N35" s="416"/>
      <c r="O35" s="416"/>
      <c r="P35" s="417"/>
      <c r="Q35" s="43"/>
    </row>
    <row r="36" spans="3:17">
      <c r="C36" s="69"/>
      <c r="D36" s="372" t="s">
        <v>1537</v>
      </c>
      <c r="E36" s="416" t="s">
        <v>1513</v>
      </c>
      <c r="F36" s="416"/>
      <c r="G36" s="416"/>
      <c r="H36" s="416"/>
      <c r="I36" s="416"/>
      <c r="J36" s="416"/>
      <c r="K36" s="416"/>
      <c r="L36" s="416"/>
      <c r="M36" s="416"/>
      <c r="N36" s="416"/>
      <c r="O36" s="416"/>
      <c r="P36" s="417"/>
      <c r="Q36" s="43"/>
    </row>
    <row r="37" spans="3:17">
      <c r="C37" s="69"/>
      <c r="D37" s="372" t="s">
        <v>1538</v>
      </c>
      <c r="E37" s="416" t="s">
        <v>1514</v>
      </c>
      <c r="F37" s="416"/>
      <c r="G37" s="416"/>
      <c r="H37" s="416"/>
      <c r="I37" s="416"/>
      <c r="J37" s="416"/>
      <c r="K37" s="416"/>
      <c r="L37" s="416"/>
      <c r="M37" s="416"/>
      <c r="N37" s="416"/>
      <c r="O37" s="416"/>
      <c r="P37" s="417"/>
      <c r="Q37" s="43"/>
    </row>
    <row r="38" spans="3:17">
      <c r="C38" s="69"/>
      <c r="D38" s="372" t="s">
        <v>1539</v>
      </c>
      <c r="E38" s="416" t="s">
        <v>1517</v>
      </c>
      <c r="F38" s="416"/>
      <c r="G38" s="416"/>
      <c r="H38" s="416"/>
      <c r="I38" s="416"/>
      <c r="J38" s="416"/>
      <c r="K38" s="416"/>
      <c r="L38" s="416"/>
      <c r="M38" s="416"/>
      <c r="N38" s="416"/>
      <c r="O38" s="416"/>
      <c r="P38" s="417"/>
      <c r="Q38" s="43"/>
    </row>
    <row r="39" spans="3:17">
      <c r="C39" s="69"/>
      <c r="D39" s="372" t="s">
        <v>1540</v>
      </c>
      <c r="E39" s="416" t="s">
        <v>1518</v>
      </c>
      <c r="F39" s="416"/>
      <c r="G39" s="416"/>
      <c r="H39" s="416"/>
      <c r="I39" s="416"/>
      <c r="J39" s="416"/>
      <c r="K39" s="416"/>
      <c r="L39" s="416"/>
      <c r="M39" s="416"/>
      <c r="N39" s="416"/>
      <c r="O39" s="416"/>
      <c r="P39" s="417"/>
      <c r="Q39" s="43"/>
    </row>
    <row r="40" spans="3:17">
      <c r="C40" s="69"/>
      <c r="D40" s="372" t="s">
        <v>1541</v>
      </c>
      <c r="E40" s="416" t="s">
        <v>1519</v>
      </c>
      <c r="F40" s="416"/>
      <c r="G40" s="416"/>
      <c r="H40" s="416"/>
      <c r="I40" s="416"/>
      <c r="J40" s="416"/>
      <c r="K40" s="416"/>
      <c r="L40" s="416"/>
      <c r="M40" s="416"/>
      <c r="N40" s="416"/>
      <c r="O40" s="416"/>
      <c r="P40" s="417"/>
      <c r="Q40" s="43"/>
    </row>
    <row r="41" spans="3:17">
      <c r="C41" s="69"/>
      <c r="D41" s="372" t="s">
        <v>1542</v>
      </c>
      <c r="E41" s="416" t="s">
        <v>1520</v>
      </c>
      <c r="F41" s="416"/>
      <c r="G41" s="416"/>
      <c r="H41" s="416"/>
      <c r="I41" s="416"/>
      <c r="J41" s="416"/>
      <c r="K41" s="416"/>
      <c r="L41" s="416"/>
      <c r="M41" s="416"/>
      <c r="N41" s="416"/>
      <c r="O41" s="416"/>
      <c r="P41" s="417"/>
      <c r="Q41" s="43"/>
    </row>
    <row r="42" spans="3:17">
      <c r="C42" s="69"/>
      <c r="D42" s="372" t="s">
        <v>1543</v>
      </c>
      <c r="E42" s="416" t="s">
        <v>1521</v>
      </c>
      <c r="F42" s="416"/>
      <c r="G42" s="416"/>
      <c r="H42" s="416"/>
      <c r="I42" s="416"/>
      <c r="J42" s="416"/>
      <c r="K42" s="416"/>
      <c r="L42" s="416"/>
      <c r="M42" s="416"/>
      <c r="N42" s="416"/>
      <c r="O42" s="416"/>
      <c r="P42" s="417"/>
      <c r="Q42" s="43"/>
    </row>
    <row r="43" spans="3:17" ht="42.75" customHeight="1">
      <c r="C43" s="69"/>
      <c r="D43" s="372" t="s">
        <v>1544</v>
      </c>
      <c r="E43" s="418" t="s">
        <v>1545</v>
      </c>
      <c r="F43" s="419"/>
      <c r="G43" s="419"/>
      <c r="H43" s="419"/>
      <c r="I43" s="419"/>
      <c r="J43" s="419"/>
      <c r="K43" s="419"/>
      <c r="L43" s="419"/>
      <c r="M43" s="419"/>
      <c r="N43" s="419"/>
      <c r="O43" s="419"/>
      <c r="P43" s="420"/>
      <c r="Q43" s="43"/>
    </row>
    <row r="44" spans="3:17" ht="53.25" customHeight="1">
      <c r="C44" s="69"/>
      <c r="D44" s="372" t="s">
        <v>2297</v>
      </c>
      <c r="E44" s="438" t="s">
        <v>2298</v>
      </c>
      <c r="F44" s="433"/>
      <c r="G44" s="433"/>
      <c r="H44" s="433"/>
      <c r="I44" s="433"/>
      <c r="J44" s="433"/>
      <c r="K44" s="433"/>
      <c r="L44" s="433"/>
      <c r="M44" s="433"/>
      <c r="N44" s="433"/>
      <c r="O44" s="433"/>
      <c r="P44" s="434"/>
      <c r="Q44" s="43"/>
    </row>
    <row r="45" spans="3:17" ht="25.5" customHeight="1">
      <c r="C45" s="69"/>
      <c r="D45" s="372" t="s">
        <v>2329</v>
      </c>
      <c r="E45" s="438" t="s">
        <v>2330</v>
      </c>
      <c r="F45" s="433"/>
      <c r="G45" s="433"/>
      <c r="H45" s="433"/>
      <c r="I45" s="433"/>
      <c r="J45" s="433"/>
      <c r="K45" s="433"/>
      <c r="L45" s="433"/>
      <c r="M45" s="433"/>
      <c r="N45" s="433"/>
      <c r="O45" s="433"/>
      <c r="P45" s="434"/>
      <c r="Q45" s="43"/>
    </row>
    <row r="46" spans="3:17">
      <c r="C46" s="69"/>
      <c r="D46" s="372"/>
      <c r="E46" s="416"/>
      <c r="F46" s="433"/>
      <c r="G46" s="433"/>
      <c r="H46" s="433"/>
      <c r="I46" s="433"/>
      <c r="J46" s="433"/>
      <c r="K46" s="433"/>
      <c r="L46" s="433"/>
      <c r="M46" s="433"/>
      <c r="N46" s="433"/>
      <c r="O46" s="433"/>
      <c r="P46" s="434"/>
      <c r="Q46" s="43"/>
    </row>
    <row r="47" spans="3:17">
      <c r="C47" s="69"/>
      <c r="D47" s="372" t="s">
        <v>2370</v>
      </c>
      <c r="E47" s="416" t="s">
        <v>2371</v>
      </c>
      <c r="F47" s="433"/>
      <c r="G47" s="433"/>
      <c r="H47" s="433"/>
      <c r="I47" s="433"/>
      <c r="J47" s="433"/>
      <c r="K47" s="433"/>
      <c r="L47" s="433"/>
      <c r="M47" s="433"/>
      <c r="N47" s="433"/>
      <c r="O47" s="433"/>
      <c r="P47" s="434"/>
      <c r="Q47" s="43"/>
    </row>
    <row r="48" spans="3:17">
      <c r="C48" s="69"/>
      <c r="D48" s="372" t="s">
        <v>2372</v>
      </c>
      <c r="E48" s="416" t="s">
        <v>2373</v>
      </c>
      <c r="F48" s="433"/>
      <c r="G48" s="433"/>
      <c r="H48" s="433"/>
      <c r="I48" s="433"/>
      <c r="J48" s="433"/>
      <c r="K48" s="433"/>
      <c r="L48" s="433"/>
      <c r="M48" s="433"/>
      <c r="N48" s="433"/>
      <c r="O48" s="433"/>
      <c r="P48" s="434"/>
      <c r="Q48" s="43"/>
    </row>
    <row r="49" spans="3:17" ht="25.5" customHeight="1">
      <c r="C49" s="69"/>
      <c r="D49" s="372" t="s">
        <v>2378</v>
      </c>
      <c r="E49" s="438" t="s">
        <v>2379</v>
      </c>
      <c r="F49" s="433"/>
      <c r="G49" s="433"/>
      <c r="H49" s="433"/>
      <c r="I49" s="433"/>
      <c r="J49" s="433"/>
      <c r="K49" s="433"/>
      <c r="L49" s="433"/>
      <c r="M49" s="433"/>
      <c r="N49" s="433"/>
      <c r="O49" s="433"/>
      <c r="P49" s="434"/>
      <c r="Q49" s="43"/>
    </row>
    <row r="50" spans="3:17">
      <c r="C50" s="69"/>
      <c r="D50" s="372" t="s">
        <v>2383</v>
      </c>
      <c r="E50" s="416" t="s">
        <v>2384</v>
      </c>
      <c r="F50" s="433"/>
      <c r="G50" s="433"/>
      <c r="H50" s="433"/>
      <c r="I50" s="433"/>
      <c r="J50" s="433"/>
      <c r="K50" s="433"/>
      <c r="L50" s="433"/>
      <c r="M50" s="433"/>
      <c r="N50" s="433"/>
      <c r="O50" s="433"/>
      <c r="P50" s="434"/>
      <c r="Q50" s="43"/>
    </row>
    <row r="51" spans="3:17">
      <c r="C51" s="69"/>
      <c r="D51" s="372" t="s">
        <v>2385</v>
      </c>
      <c r="E51" s="416" t="s">
        <v>2386</v>
      </c>
      <c r="F51" s="433"/>
      <c r="G51" s="433"/>
      <c r="H51" s="433"/>
      <c r="I51" s="433"/>
      <c r="J51" s="433"/>
      <c r="K51" s="433"/>
      <c r="L51" s="433"/>
      <c r="M51" s="433"/>
      <c r="N51" s="433"/>
      <c r="O51" s="433"/>
      <c r="P51" s="434"/>
      <c r="Q51" s="43"/>
    </row>
    <row r="52" spans="3:17">
      <c r="C52" s="69"/>
      <c r="D52" s="372"/>
      <c r="E52" s="416"/>
      <c r="F52" s="433"/>
      <c r="G52" s="433"/>
      <c r="H52" s="433"/>
      <c r="I52" s="433"/>
      <c r="J52" s="433"/>
      <c r="K52" s="433"/>
      <c r="L52" s="433"/>
      <c r="M52" s="433"/>
      <c r="N52" s="433"/>
      <c r="O52" s="433"/>
      <c r="P52" s="434"/>
      <c r="Q52" s="43"/>
    </row>
    <row r="53" spans="3:17">
      <c r="C53" s="69"/>
      <c r="D53" s="372"/>
      <c r="E53" s="416"/>
      <c r="F53" s="433"/>
      <c r="G53" s="433"/>
      <c r="H53" s="433"/>
      <c r="I53" s="433"/>
      <c r="J53" s="433"/>
      <c r="K53" s="433"/>
      <c r="L53" s="433"/>
      <c r="M53" s="433"/>
      <c r="N53" s="433"/>
      <c r="O53" s="433"/>
      <c r="P53" s="434"/>
      <c r="Q53" s="43"/>
    </row>
    <row r="54" spans="3:17">
      <c r="C54" s="69"/>
      <c r="D54" s="373"/>
      <c r="E54" s="435"/>
      <c r="F54" s="436"/>
      <c r="G54" s="436"/>
      <c r="H54" s="436"/>
      <c r="I54" s="436"/>
      <c r="J54" s="436"/>
      <c r="K54" s="436"/>
      <c r="L54" s="436"/>
      <c r="M54" s="436"/>
      <c r="N54" s="436"/>
      <c r="O54" s="436"/>
      <c r="P54" s="437"/>
      <c r="Q54" s="43"/>
    </row>
    <row r="55" spans="3:17" ht="13.5" thickBot="1">
      <c r="C55" s="68"/>
      <c r="D55" s="374"/>
      <c r="E55" s="430"/>
      <c r="F55" s="431"/>
      <c r="G55" s="431"/>
      <c r="H55" s="431"/>
      <c r="I55" s="431"/>
      <c r="J55" s="431"/>
      <c r="K55" s="431"/>
      <c r="L55" s="431"/>
      <c r="M55" s="431"/>
      <c r="N55" s="431"/>
      <c r="O55" s="431"/>
      <c r="P55" s="432"/>
      <c r="Q55" s="43"/>
    </row>
    <row r="56" spans="3:17" ht="13.5" thickTop="1">
      <c r="C56" s="68"/>
      <c r="D56" s="71"/>
      <c r="E56" s="71"/>
      <c r="F56" s="71"/>
      <c r="G56" s="71"/>
      <c r="H56" s="71"/>
      <c r="I56" s="71"/>
      <c r="J56" s="71"/>
      <c r="K56" s="71"/>
      <c r="L56" s="71"/>
      <c r="M56" s="71"/>
      <c r="N56" s="71"/>
      <c r="O56" s="71"/>
      <c r="P56" s="71"/>
    </row>
    <row r="57" spans="3:17">
      <c r="C57" s="69"/>
    </row>
    <row r="58" spans="3:17">
      <c r="C58" s="69"/>
    </row>
    <row r="59" spans="3:17">
      <c r="C59" s="68"/>
    </row>
    <row r="60" spans="3:17">
      <c r="C60" s="70"/>
    </row>
    <row r="61" spans="3:17">
      <c r="C61" s="42"/>
    </row>
    <row r="62" spans="3:17">
      <c r="C62" s="42"/>
    </row>
    <row r="63" spans="3:17" ht="12.75" customHeight="1">
      <c r="C63" s="42"/>
    </row>
    <row r="64" spans="3:17">
      <c r="C64" s="42"/>
    </row>
    <row r="65" spans="3:3">
      <c r="C65" s="42"/>
    </row>
    <row r="66" spans="3:3">
      <c r="C66" s="42"/>
    </row>
    <row r="67" spans="3:3">
      <c r="C67" s="42"/>
    </row>
    <row r="68" spans="3:3">
      <c r="C68" s="42"/>
    </row>
    <row r="69" spans="3:3" ht="14.25" customHeight="1"/>
  </sheetData>
  <sheetProtection selectLockedCells="1"/>
  <mergeCells count="40">
    <mergeCell ref="D20:P20"/>
    <mergeCell ref="D24:P24"/>
    <mergeCell ref="B1:R4"/>
    <mergeCell ref="B5:R6"/>
    <mergeCell ref="B7:R8"/>
    <mergeCell ref="B9:R10"/>
    <mergeCell ref="D12:P12"/>
    <mergeCell ref="D17:P17"/>
    <mergeCell ref="D18:G18"/>
    <mergeCell ref="H18:P18"/>
    <mergeCell ref="D19:G19"/>
    <mergeCell ref="H19:P19"/>
    <mergeCell ref="E50:P50"/>
    <mergeCell ref="E41:P41"/>
    <mergeCell ref="E42:P42"/>
    <mergeCell ref="E43:P43"/>
    <mergeCell ref="E44:P44"/>
    <mergeCell ref="E45:P45"/>
    <mergeCell ref="E46:P46"/>
    <mergeCell ref="E47:P47"/>
    <mergeCell ref="E48:P48"/>
    <mergeCell ref="E49:P49"/>
    <mergeCell ref="E55:P55"/>
    <mergeCell ref="E51:P51"/>
    <mergeCell ref="E52:P52"/>
    <mergeCell ref="E53:P53"/>
    <mergeCell ref="E54:P54"/>
    <mergeCell ref="E29:P29"/>
    <mergeCell ref="D28:P28"/>
    <mergeCell ref="E31:P31"/>
    <mergeCell ref="E30:P30"/>
    <mergeCell ref="E37:P37"/>
    <mergeCell ref="E38:P38"/>
    <mergeCell ref="E39:P39"/>
    <mergeCell ref="E40:P40"/>
    <mergeCell ref="E32:P32"/>
    <mergeCell ref="E33:P33"/>
    <mergeCell ref="E34:P34"/>
    <mergeCell ref="E35:P35"/>
    <mergeCell ref="E36:P36"/>
  </mergeCells>
  <phoneticPr fontId="59" type="noConversion"/>
  <pageMargins left="0.7" right="0.7" top="0.75" bottom="0.75" header="0.3" footer="0.3"/>
  <pageSetup orientation="portrait" r:id="rId1"/>
  <pictur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FF66"/>
  </sheetPr>
  <dimension ref="A1:P113"/>
  <sheetViews>
    <sheetView zoomScaleNormal="100" workbookViewId="0">
      <pane ySplit="9" topLeftCell="A34" activePane="bottomLeft" state="frozen"/>
      <selection pane="bottomLeft" activeCell="H87" sqref="H87"/>
    </sheetView>
  </sheetViews>
  <sheetFormatPr defaultColWidth="9.140625" defaultRowHeight="12.75"/>
  <cols>
    <col min="1" max="1" width="7.42578125" style="132" customWidth="1"/>
    <col min="2" max="2" width="10.7109375" style="132" customWidth="1"/>
    <col min="3" max="3" width="9.140625" style="132"/>
    <col min="4" max="4" width="44" style="132" customWidth="1"/>
    <col min="5" max="5" width="22.42578125" style="132" bestFit="1" customWidth="1"/>
    <col min="6" max="6" width="8.42578125" style="132" customWidth="1"/>
    <col min="7" max="7" width="9.7109375" style="132" customWidth="1"/>
    <col min="8" max="8" width="25.7109375" style="132" customWidth="1"/>
    <col min="9" max="9" width="9.140625" style="132"/>
    <col min="10" max="10" width="9.140625" style="132" customWidth="1"/>
    <col min="11" max="11" width="20.5703125" style="132" hidden="1" customWidth="1"/>
    <col min="12" max="12" width="11.85546875" style="132" hidden="1" customWidth="1"/>
    <col min="13" max="13" width="9.140625" style="132" hidden="1" customWidth="1"/>
    <col min="14" max="14" width="9.140625" style="132"/>
    <col min="15" max="15" width="20.7109375" style="132" bestFit="1" customWidth="1"/>
    <col min="16" max="16" width="21.85546875" style="132" bestFit="1" customWidth="1"/>
    <col min="17" max="16384" width="9.140625" style="132"/>
  </cols>
  <sheetData>
    <row r="1" spans="1:12" ht="12.75" customHeight="1">
      <c r="A1" s="2"/>
      <c r="B1" s="469" t="s">
        <v>1346</v>
      </c>
      <c r="C1" s="470"/>
      <c r="D1" s="470"/>
      <c r="E1" s="470"/>
      <c r="F1" s="470"/>
      <c r="G1" s="470"/>
      <c r="H1" s="470"/>
      <c r="I1" s="471"/>
      <c r="J1" s="5"/>
      <c r="K1" s="298"/>
    </row>
    <row r="2" spans="1:12" ht="12.75" customHeight="1">
      <c r="A2" s="2"/>
      <c r="B2" s="472"/>
      <c r="C2" s="473"/>
      <c r="D2" s="473"/>
      <c r="E2" s="473"/>
      <c r="F2" s="473"/>
      <c r="G2" s="473"/>
      <c r="H2" s="473"/>
      <c r="I2" s="474"/>
      <c r="J2" s="5"/>
      <c r="K2" s="298"/>
    </row>
    <row r="3" spans="1:12" ht="12.75" customHeight="1" thickBot="1">
      <c r="A3" s="2"/>
      <c r="B3" s="472"/>
      <c r="C3" s="473"/>
      <c r="D3" s="473"/>
      <c r="E3" s="473"/>
      <c r="F3" s="473"/>
      <c r="G3" s="473"/>
      <c r="H3" s="473"/>
      <c r="I3" s="474"/>
      <c r="J3" s="5"/>
      <c r="K3" s="298"/>
    </row>
    <row r="4" spans="1:12" ht="12.75" customHeight="1" thickTop="1">
      <c r="A4" s="2"/>
      <c r="B4" s="475" t="s">
        <v>92</v>
      </c>
      <c r="C4" s="476"/>
      <c r="D4" s="476"/>
      <c r="E4" s="476"/>
      <c r="F4" s="476"/>
      <c r="G4" s="476"/>
      <c r="H4" s="476"/>
      <c r="I4" s="477"/>
      <c r="J4" s="6"/>
      <c r="K4" s="298"/>
    </row>
    <row r="5" spans="1:12" ht="12.75" customHeight="1">
      <c r="A5" s="2"/>
      <c r="B5" s="478"/>
      <c r="C5" s="479"/>
      <c r="D5" s="479"/>
      <c r="E5" s="479"/>
      <c r="F5" s="479"/>
      <c r="G5" s="479"/>
      <c r="H5" s="479"/>
      <c r="I5" s="480"/>
      <c r="J5" s="6"/>
      <c r="K5" s="298"/>
    </row>
    <row r="6" spans="1:12" ht="12.75" customHeight="1">
      <c r="A6" s="2"/>
      <c r="B6" s="7" t="s">
        <v>93</v>
      </c>
      <c r="C6" s="8" t="s">
        <v>1472</v>
      </c>
      <c r="D6" s="8"/>
      <c r="E6" s="9"/>
      <c r="F6" s="9"/>
      <c r="G6" s="10"/>
      <c r="H6" s="10"/>
      <c r="I6" s="11"/>
      <c r="J6" s="12"/>
      <c r="K6" s="72"/>
    </row>
    <row r="7" spans="1:12" ht="12.75" customHeight="1">
      <c r="A7" s="13"/>
      <c r="B7" s="14"/>
      <c r="C7" s="15" t="s">
        <v>1465</v>
      </c>
      <c r="D7" s="16"/>
      <c r="E7" s="17"/>
      <c r="F7" s="17"/>
      <c r="G7" s="18"/>
      <c r="H7" s="18"/>
      <c r="I7" s="19"/>
      <c r="J7" s="12"/>
      <c r="K7" s="72"/>
    </row>
    <row r="8" spans="1:12" ht="12.75" customHeight="1">
      <c r="A8" s="13"/>
      <c r="B8" s="14"/>
      <c r="C8" s="15"/>
      <c r="D8" s="16"/>
      <c r="E8" s="17"/>
      <c r="F8" s="17"/>
      <c r="G8" s="18"/>
      <c r="H8" s="18"/>
      <c r="I8" s="19"/>
      <c r="J8" s="12"/>
      <c r="K8" s="72"/>
    </row>
    <row r="9" spans="1:12" ht="12.75" customHeight="1" thickBot="1">
      <c r="A9" s="13"/>
      <c r="B9" s="358"/>
      <c r="C9" s="357"/>
      <c r="D9" s="357" t="s">
        <v>1483</v>
      </c>
      <c r="E9" s="355"/>
      <c r="F9" s="355"/>
      <c r="G9" s="24"/>
      <c r="H9" s="24"/>
      <c r="I9" s="25"/>
      <c r="J9" s="3"/>
      <c r="K9" s="72"/>
    </row>
    <row r="10" spans="1:12" ht="13.5" thickTop="1">
      <c r="H10" s="162" t="s">
        <v>1463</v>
      </c>
    </row>
    <row r="11" spans="1:12">
      <c r="B11" s="463" t="s">
        <v>27</v>
      </c>
      <c r="C11" s="464"/>
      <c r="D11" s="464"/>
      <c r="E11" s="464"/>
      <c r="F11" s="464"/>
      <c r="G11" s="465"/>
    </row>
    <row r="12" spans="1:12" ht="13.5" thickBot="1">
      <c r="B12" s="466"/>
      <c r="C12" s="467"/>
      <c r="D12" s="467"/>
      <c r="E12" s="467"/>
      <c r="F12" s="467"/>
      <c r="G12" s="468"/>
    </row>
    <row r="13" spans="1:12" ht="14.25" thickTop="1" thickBot="1">
      <c r="B13" s="171"/>
      <c r="C13" s="172"/>
      <c r="D13" s="173" t="s">
        <v>24</v>
      </c>
      <c r="E13" s="173" t="s">
        <v>25</v>
      </c>
      <c r="F13" s="174" t="s">
        <v>26</v>
      </c>
      <c r="G13" s="175"/>
    </row>
    <row r="14" spans="1:12" ht="13.5" thickTop="1">
      <c r="C14" s="172"/>
      <c r="D14" s="176" t="s">
        <v>19</v>
      </c>
      <c r="E14" s="223" t="s">
        <v>153</v>
      </c>
      <c r="F14" s="177" t="s">
        <v>20</v>
      </c>
      <c r="K14" s="162" t="s">
        <v>1447</v>
      </c>
      <c r="L14" s="132" t="str">
        <f>E14</f>
        <v>DDR4</v>
      </c>
    </row>
    <row r="15" spans="1:12">
      <c r="B15" s="356"/>
      <c r="C15" s="172"/>
      <c r="D15" s="39" t="s">
        <v>21</v>
      </c>
      <c r="E15" s="169">
        <v>666</v>
      </c>
      <c r="F15" s="1" t="s">
        <v>0</v>
      </c>
      <c r="H15" s="162" t="s">
        <v>1464</v>
      </c>
      <c r="K15" s="162" t="s">
        <v>1448</v>
      </c>
      <c r="L15" s="132">
        <f t="shared" ref="L15:L54" si="0">E15</f>
        <v>666</v>
      </c>
    </row>
    <row r="16" spans="1:12">
      <c r="C16" s="172"/>
      <c r="D16" s="39" t="s">
        <v>1369</v>
      </c>
      <c r="E16" s="169">
        <v>16</v>
      </c>
      <c r="F16" s="1" t="s">
        <v>22</v>
      </c>
      <c r="K16" s="162" t="s">
        <v>1449</v>
      </c>
      <c r="L16" s="132">
        <f t="shared" si="0"/>
        <v>16</v>
      </c>
    </row>
    <row r="17" spans="2:12">
      <c r="C17" s="172"/>
      <c r="D17" s="39" t="s">
        <v>1339</v>
      </c>
      <c r="E17" s="169">
        <v>32</v>
      </c>
      <c r="F17" s="1" t="s">
        <v>22</v>
      </c>
      <c r="K17" s="162" t="s">
        <v>1450</v>
      </c>
      <c r="L17" s="132">
        <f t="shared" si="0"/>
        <v>32</v>
      </c>
    </row>
    <row r="18" spans="2:12">
      <c r="C18" s="172"/>
      <c r="D18" s="39" t="s">
        <v>1106</v>
      </c>
      <c r="E18" s="169" t="s">
        <v>2382</v>
      </c>
      <c r="F18" s="178" t="s">
        <v>20</v>
      </c>
      <c r="K18" s="162" t="s">
        <v>1451</v>
      </c>
      <c r="L18" s="132" t="str">
        <f>E18</f>
        <v>No</v>
      </c>
    </row>
    <row r="19" spans="2:12">
      <c r="C19" s="172"/>
      <c r="D19" s="152" t="s">
        <v>148</v>
      </c>
      <c r="E19" s="363" t="s">
        <v>2450</v>
      </c>
      <c r="F19" s="364" t="s">
        <v>20</v>
      </c>
      <c r="K19" s="162" t="s">
        <v>1501</v>
      </c>
      <c r="L19" s="132" t="str">
        <f>E19</f>
        <v>Single_Rank</v>
      </c>
    </row>
    <row r="22" spans="2:12">
      <c r="B22" s="463" t="s">
        <v>28</v>
      </c>
      <c r="C22" s="464"/>
      <c r="D22" s="464"/>
      <c r="E22" s="464"/>
      <c r="F22" s="464"/>
      <c r="G22" s="465"/>
    </row>
    <row r="23" spans="2:12" ht="13.5" thickBot="1">
      <c r="B23" s="466"/>
      <c r="C23" s="467"/>
      <c r="D23" s="467"/>
      <c r="E23" s="467"/>
      <c r="F23" s="467"/>
      <c r="G23" s="468"/>
    </row>
    <row r="24" spans="2:12" ht="14.45" customHeight="1" thickTop="1" thickBot="1">
      <c r="B24" s="171"/>
      <c r="C24" s="172"/>
      <c r="D24" s="173" t="s">
        <v>24</v>
      </c>
      <c r="E24" s="173" t="s">
        <v>25</v>
      </c>
      <c r="F24" s="174" t="s">
        <v>26</v>
      </c>
      <c r="G24" s="481"/>
    </row>
    <row r="25" spans="2:12" ht="13.5" thickTop="1">
      <c r="B25" s="171"/>
      <c r="C25" s="172"/>
      <c r="D25" s="176" t="s">
        <v>29</v>
      </c>
      <c r="E25" s="224">
        <v>1333</v>
      </c>
      <c r="F25" s="177" t="s">
        <v>1</v>
      </c>
      <c r="G25" s="482"/>
      <c r="K25" s="162" t="s">
        <v>1452</v>
      </c>
      <c r="L25" s="132">
        <f t="shared" si="0"/>
        <v>1333</v>
      </c>
    </row>
    <row r="26" spans="2:12">
      <c r="B26" s="171"/>
      <c r="C26" s="172"/>
      <c r="D26" s="39" t="s">
        <v>90</v>
      </c>
      <c r="E26" s="169">
        <v>4</v>
      </c>
      <c r="F26" s="1" t="s">
        <v>91</v>
      </c>
      <c r="G26" s="482"/>
      <c r="K26" s="162" t="s">
        <v>1453</v>
      </c>
      <c r="L26" s="132">
        <f t="shared" si="0"/>
        <v>4</v>
      </c>
    </row>
    <row r="27" spans="2:12">
      <c r="B27" s="171"/>
      <c r="C27" s="172"/>
      <c r="D27" s="39" t="s">
        <v>76</v>
      </c>
      <c r="E27" s="169">
        <v>15</v>
      </c>
      <c r="F27" s="178" t="s">
        <v>20</v>
      </c>
      <c r="G27" s="482"/>
      <c r="K27" s="162" t="s">
        <v>1454</v>
      </c>
      <c r="L27" s="132">
        <f t="shared" si="0"/>
        <v>15</v>
      </c>
    </row>
    <row r="28" spans="2:12">
      <c r="B28" s="171"/>
      <c r="C28" s="172"/>
      <c r="D28" s="39" t="s">
        <v>77</v>
      </c>
      <c r="E28" s="169">
        <v>10</v>
      </c>
      <c r="F28" s="178" t="s">
        <v>20</v>
      </c>
      <c r="G28" s="483"/>
      <c r="K28" s="162" t="s">
        <v>1455</v>
      </c>
      <c r="L28" s="132">
        <f t="shared" si="0"/>
        <v>10</v>
      </c>
    </row>
    <row r="29" spans="2:12">
      <c r="B29" s="201"/>
      <c r="C29" s="172"/>
      <c r="D29" s="39" t="s">
        <v>1484</v>
      </c>
      <c r="E29" s="366">
        <v>8</v>
      </c>
      <c r="F29" s="178" t="s">
        <v>20</v>
      </c>
      <c r="K29" s="162" t="s">
        <v>1495</v>
      </c>
      <c r="L29" s="132">
        <f t="shared" si="0"/>
        <v>8</v>
      </c>
    </row>
    <row r="31" spans="2:12">
      <c r="B31" s="463" t="s">
        <v>31</v>
      </c>
      <c r="C31" s="467"/>
      <c r="D31" s="467"/>
      <c r="E31" s="467"/>
      <c r="F31" s="467"/>
      <c r="G31" s="465"/>
    </row>
    <row r="32" spans="2:12" ht="13.5" thickBot="1">
      <c r="B32" s="466"/>
      <c r="C32" s="467"/>
      <c r="D32" s="467"/>
      <c r="E32" s="467"/>
      <c r="F32" s="467"/>
      <c r="G32" s="468"/>
    </row>
    <row r="33" spans="2:16" ht="14.25" thickTop="1" thickBot="1">
      <c r="B33" s="171"/>
      <c r="C33" s="172"/>
      <c r="D33" s="173" t="s">
        <v>24</v>
      </c>
      <c r="E33" s="173" t="s">
        <v>25</v>
      </c>
      <c r="F33" s="184"/>
      <c r="G33" s="174" t="s">
        <v>26</v>
      </c>
      <c r="H33" s="185" t="s">
        <v>32</v>
      </c>
      <c r="P33" s="132" t="s">
        <v>122</v>
      </c>
    </row>
    <row r="34" spans="2:16" ht="13.5" thickTop="1">
      <c r="B34" s="171"/>
      <c r="C34" s="172"/>
      <c r="D34" s="186" t="s">
        <v>33</v>
      </c>
      <c r="E34" s="225" t="s">
        <v>1103</v>
      </c>
      <c r="F34" s="188">
        <f>IF(Memory_Type="DDR4",VLOOKUP(E34,'VREF (DDR4)'!Z44:AA51,2,FALSE),IF(Memory_Type="DDR3L",VLOOKUP(E34,'VREF (DDR4)'!AE44:AF49,2,FALSE),VLOOKUP(E34,'VREF (LPDDR4)'!AA50:AB56,2,FALSE)))</f>
        <v>48</v>
      </c>
      <c r="G34" s="177" t="s">
        <v>35</v>
      </c>
      <c r="H34" s="189" t="str">
        <f>IF(Memory_Type="DDR4","RZQ/5=48ohms",IF(Memory_Type="DDR3L","RZQ/4=60ohms","RZQ/6=40ohms"))</f>
        <v>RZQ/5=48ohms</v>
      </c>
      <c r="K34" s="132" t="s">
        <v>1456</v>
      </c>
      <c r="L34" s="132" t="str">
        <f t="shared" si="0"/>
        <v>RZQ/5</v>
      </c>
    </row>
    <row r="35" spans="2:16">
      <c r="B35" s="171"/>
      <c r="C35" s="172"/>
      <c r="D35" s="190" t="s">
        <v>36</v>
      </c>
      <c r="E35" s="226" t="s">
        <v>1101</v>
      </c>
      <c r="F35" s="192" t="str">
        <f>VLOOKUP(E35,'VREF (DDR4)'!Z44:AA51,2,FALSE)</f>
        <v>disabled</v>
      </c>
      <c r="G35" s="1" t="s">
        <v>35</v>
      </c>
      <c r="H35" s="193" t="s">
        <v>1101</v>
      </c>
      <c r="K35" s="132" t="s">
        <v>1457</v>
      </c>
      <c r="L35" s="132" t="str">
        <f t="shared" si="0"/>
        <v>disabled</v>
      </c>
    </row>
    <row r="36" spans="2:16" ht="13.5" thickBot="1">
      <c r="B36" s="171"/>
      <c r="C36" s="172"/>
      <c r="D36" s="194" t="s">
        <v>38</v>
      </c>
      <c r="E36" s="227" t="s">
        <v>39</v>
      </c>
      <c r="F36" s="196">
        <f>IF(Memory_Type="DDR4",VLOOKUP(E36,'VREF (DDR4)'!Z40:AA41,2,FALSE),IF(Memory_Type="DDR3L",VLOOKUP(E36,'VREF (DDR4)'!AE40:AF41,2,FALSE),IF(Memory_Type="LPDDR4",VLOOKUP(E36,'VREF (LPDDR4)'!AA40:AB47,2,FALSE))))</f>
        <v>34.299999999999997</v>
      </c>
      <c r="G36" s="197" t="s">
        <v>35</v>
      </c>
      <c r="H36" s="198" t="str">
        <f>IF(Memory_Type="DDR4","RZQ/7=34.3ohms",IF(Memory_Type="DDR3L","RZQ/7=34.3ohms","RZQ/4=60ohms"))</f>
        <v>RZQ/7=34.3ohms</v>
      </c>
      <c r="K36" s="132" t="s">
        <v>1458</v>
      </c>
      <c r="L36" s="132" t="str">
        <f t="shared" si="0"/>
        <v>RZQ/7</v>
      </c>
    </row>
    <row r="37" spans="2:16" ht="13.5" thickTop="1">
      <c r="B37" s="171"/>
      <c r="C37" s="199" t="s">
        <v>40</v>
      </c>
      <c r="D37" s="200"/>
      <c r="E37" s="200"/>
      <c r="F37" s="200"/>
      <c r="G37" s="200"/>
    </row>
    <row r="38" spans="2:16">
      <c r="B38" s="201"/>
      <c r="C38" s="202"/>
      <c r="D38" s="201"/>
      <c r="E38" s="201"/>
      <c r="F38" s="201"/>
      <c r="G38" s="201"/>
    </row>
    <row r="40" spans="2:16" hidden="1">
      <c r="B40" s="463" t="s">
        <v>136</v>
      </c>
      <c r="C40" s="467"/>
      <c r="D40" s="467"/>
      <c r="E40" s="467"/>
      <c r="F40" s="467"/>
      <c r="G40" s="465"/>
      <c r="L40" s="132">
        <f t="shared" si="0"/>
        <v>0</v>
      </c>
    </row>
    <row r="41" spans="2:16" hidden="1">
      <c r="B41" s="466"/>
      <c r="C41" s="467"/>
      <c r="D41" s="467"/>
      <c r="E41" s="467"/>
      <c r="F41" s="467"/>
      <c r="G41" s="468"/>
      <c r="L41" s="132">
        <f t="shared" si="0"/>
        <v>0</v>
      </c>
    </row>
    <row r="42" spans="2:16" ht="13.5" hidden="1" thickTop="1">
      <c r="B42" s="171"/>
      <c r="C42" s="203" t="s">
        <v>23</v>
      </c>
      <c r="D42" s="173" t="s">
        <v>24</v>
      </c>
      <c r="E42" s="173" t="s">
        <v>25</v>
      </c>
      <c r="F42" s="174" t="s">
        <v>26</v>
      </c>
      <c r="G42" s="204" t="s">
        <v>151</v>
      </c>
      <c r="L42" s="132" t="str">
        <f t="shared" si="0"/>
        <v>Value</v>
      </c>
      <c r="O42" s="132" t="s">
        <v>122</v>
      </c>
    </row>
    <row r="43" spans="2:16" ht="13.5" hidden="1" thickTop="1">
      <c r="B43" s="171"/>
      <c r="C43" s="182">
        <v>17</v>
      </c>
      <c r="D43" s="186" t="s">
        <v>137</v>
      </c>
      <c r="E43" s="187">
        <v>1</v>
      </c>
      <c r="F43" s="183" t="s">
        <v>20</v>
      </c>
      <c r="G43" s="205">
        <v>1</v>
      </c>
      <c r="L43" s="132">
        <f t="shared" si="0"/>
        <v>1</v>
      </c>
    </row>
    <row r="44" spans="2:16" hidden="1">
      <c r="B44" s="171"/>
      <c r="C44" s="180">
        <v>18</v>
      </c>
      <c r="D44" s="190" t="s">
        <v>138</v>
      </c>
      <c r="E44" s="191">
        <v>0.5</v>
      </c>
      <c r="F44" s="178" t="s">
        <v>140</v>
      </c>
      <c r="G44" s="193" t="str">
        <f>IF(E14="DDR3","0 to 1.5","0 to 0.75")</f>
        <v>0 to 0.75</v>
      </c>
      <c r="L44" s="132">
        <f t="shared" si="0"/>
        <v>0.5</v>
      </c>
    </row>
    <row r="45" spans="2:16" hidden="1">
      <c r="B45" s="171"/>
      <c r="C45" s="180">
        <v>19</v>
      </c>
      <c r="D45" s="206" t="s">
        <v>139</v>
      </c>
      <c r="E45" s="191">
        <v>0.15</v>
      </c>
      <c r="F45" s="181" t="s">
        <v>141</v>
      </c>
      <c r="G45" s="207" t="str">
        <f>IF(E14="DDR3","0 to 0.15","0 to 0.2")</f>
        <v>0 to 0.2</v>
      </c>
      <c r="L45" s="132">
        <f t="shared" si="0"/>
        <v>0.15</v>
      </c>
    </row>
    <row r="46" spans="2:16" hidden="1">
      <c r="B46" s="171"/>
      <c r="C46" s="208">
        <v>20</v>
      </c>
      <c r="D46" s="206" t="s">
        <v>144</v>
      </c>
      <c r="E46" s="209">
        <v>1</v>
      </c>
      <c r="F46" s="181" t="s">
        <v>142</v>
      </c>
      <c r="G46" s="210" t="s">
        <v>146</v>
      </c>
      <c r="L46" s="132">
        <f t="shared" si="0"/>
        <v>1</v>
      </c>
    </row>
    <row r="47" spans="2:16" ht="13.5" hidden="1" thickBot="1">
      <c r="B47" s="171"/>
      <c r="C47" s="211">
        <v>21</v>
      </c>
      <c r="D47" s="194" t="s">
        <v>145</v>
      </c>
      <c r="E47" s="195">
        <v>10</v>
      </c>
      <c r="F47" s="179" t="s">
        <v>143</v>
      </c>
      <c r="G47" s="198" t="s">
        <v>147</v>
      </c>
      <c r="L47" s="132">
        <f t="shared" si="0"/>
        <v>10</v>
      </c>
    </row>
    <row r="48" spans="2:16" hidden="1">
      <c r="B48" s="212"/>
      <c r="C48" s="199" t="s">
        <v>40</v>
      </c>
      <c r="D48" s="213"/>
      <c r="E48" s="213"/>
      <c r="F48" s="213"/>
      <c r="G48" s="213"/>
      <c r="L48" s="132">
        <f t="shared" si="0"/>
        <v>0</v>
      </c>
    </row>
    <row r="49" spans="2:12" hidden="1">
      <c r="B49" s="214"/>
      <c r="C49" s="215"/>
      <c r="D49" s="216"/>
      <c r="E49" s="216"/>
      <c r="F49" s="216"/>
      <c r="G49" s="217"/>
      <c r="L49" s="132">
        <f t="shared" si="0"/>
        <v>0</v>
      </c>
    </row>
    <row r="50" spans="2:12">
      <c r="B50" s="214"/>
      <c r="C50" s="215"/>
      <c r="D50" s="216"/>
      <c r="E50" s="216"/>
      <c r="F50" s="216"/>
      <c r="G50" s="217"/>
    </row>
    <row r="51" spans="2:12">
      <c r="B51" s="466" t="s">
        <v>1170</v>
      </c>
      <c r="C51" s="467"/>
      <c r="D51" s="467"/>
      <c r="E51" s="467"/>
      <c r="F51" s="467"/>
      <c r="G51" s="468"/>
    </row>
    <row r="52" spans="2:12" ht="13.5" thickBot="1">
      <c r="B52" s="466"/>
      <c r="C52" s="467"/>
      <c r="D52" s="467"/>
      <c r="E52" s="467"/>
      <c r="F52" s="467"/>
      <c r="G52" s="468"/>
    </row>
    <row r="53" spans="2:12" ht="14.25" thickTop="1" thickBot="1">
      <c r="B53" s="218"/>
      <c r="C53" s="172"/>
      <c r="D53" s="173" t="s">
        <v>24</v>
      </c>
      <c r="E53" s="173" t="s">
        <v>25</v>
      </c>
      <c r="F53" s="173"/>
      <c r="G53" s="173" t="s">
        <v>26</v>
      </c>
      <c r="H53" s="174" t="s">
        <v>41</v>
      </c>
    </row>
    <row r="54" spans="2:12" ht="13.5" thickTop="1">
      <c r="B54" s="218"/>
      <c r="C54" s="172"/>
      <c r="D54" s="186" t="s">
        <v>1169</v>
      </c>
      <c r="E54" s="225">
        <v>60</v>
      </c>
      <c r="F54" s="188"/>
      <c r="G54" s="177" t="s">
        <v>35</v>
      </c>
      <c r="H54" s="219" t="s">
        <v>2375</v>
      </c>
      <c r="K54" s="132" t="s">
        <v>2324</v>
      </c>
      <c r="L54" s="132">
        <f t="shared" si="0"/>
        <v>60</v>
      </c>
    </row>
    <row r="55" spans="2:12">
      <c r="B55" s="218"/>
      <c r="C55" s="172"/>
      <c r="D55" s="190" t="s">
        <v>45</v>
      </c>
      <c r="E55" s="226">
        <v>34.299999999999997</v>
      </c>
      <c r="F55" s="192"/>
      <c r="G55" s="1" t="s">
        <v>35</v>
      </c>
      <c r="H55" s="220" t="str">
        <f>IF(Memory_Type="LPDDR4","40ohms","34.3ohms")</f>
        <v>34.3ohms</v>
      </c>
      <c r="K55" s="132" t="s">
        <v>2325</v>
      </c>
      <c r="L55" s="132">
        <f>E55</f>
        <v>34.299999999999997</v>
      </c>
    </row>
    <row r="56" spans="2:12" ht="13.5" thickBot="1">
      <c r="B56" s="218"/>
      <c r="C56" s="172"/>
      <c r="D56" s="194" t="s">
        <v>46</v>
      </c>
      <c r="E56" s="227">
        <v>48</v>
      </c>
      <c r="F56" s="196"/>
      <c r="G56" s="197" t="s">
        <v>35</v>
      </c>
      <c r="H56" s="220" t="str">
        <f>IF(Memory_Type="DDR3L","40ohms",IF(Memory_Type="DDR4","48ohms","40ohms"))</f>
        <v>48ohms</v>
      </c>
      <c r="K56" s="132" t="s">
        <v>2326</v>
      </c>
      <c r="L56" s="132">
        <f>E56</f>
        <v>48</v>
      </c>
    </row>
    <row r="57" spans="2:12" ht="12.4" customHeight="1" thickTop="1">
      <c r="B57" s="218"/>
      <c r="C57" s="172"/>
      <c r="D57" s="190" t="s">
        <v>43</v>
      </c>
      <c r="E57" s="226" t="s">
        <v>2336</v>
      </c>
      <c r="F57" s="192"/>
      <c r="G57" s="1" t="s">
        <v>20</v>
      </c>
      <c r="H57" s="220" t="s">
        <v>2374</v>
      </c>
      <c r="K57" s="132" t="s">
        <v>2331</v>
      </c>
      <c r="L57" s="132" t="str">
        <f t="shared" ref="L57:L58" si="1">E57</f>
        <v>Fast_Mode</v>
      </c>
    </row>
    <row r="58" spans="2:12">
      <c r="B58" s="218"/>
      <c r="C58" s="172"/>
      <c r="D58" s="190" t="s">
        <v>44</v>
      </c>
      <c r="E58" s="226" t="s">
        <v>2336</v>
      </c>
      <c r="F58" s="192"/>
      <c r="G58" s="1" t="s">
        <v>20</v>
      </c>
      <c r="H58" s="220" t="s">
        <v>2374</v>
      </c>
      <c r="K58" s="132" t="s">
        <v>2332</v>
      </c>
      <c r="L58" s="132" t="str">
        <f t="shared" si="1"/>
        <v>Fast_Mode</v>
      </c>
    </row>
    <row r="62" spans="2:12" hidden="1"/>
    <row r="63" spans="2:12" hidden="1"/>
    <row r="64" spans="2:12" hidden="1"/>
    <row r="65" spans="1:15" hidden="1"/>
    <row r="66" spans="1:15" hidden="1">
      <c r="E66" s="162" t="str">
        <f>IF(Memory_Type="LPDDR4","LPDDR4_ODT_Values",IF(Memory_Type="DDR4","DDR4_ODT_Values","DDR3_ODT_Values"))</f>
        <v>DDR4_ODT_Values</v>
      </c>
      <c r="F66" s="162"/>
      <c r="L66" s="132" t="s">
        <v>37</v>
      </c>
      <c r="M66" s="132">
        <v>1</v>
      </c>
      <c r="N66" s="132">
        <v>8</v>
      </c>
      <c r="O66" s="132">
        <v>0.5</v>
      </c>
    </row>
    <row r="67" spans="1:15" hidden="1">
      <c r="E67" s="162" t="str">
        <f>IF(Memory_Type="LPDDR4","LPDDR4_Driver_Values",IF(Memory_Type="DDR4","DDR4_Driver_Values","DDR3_Driver_Values"))</f>
        <v>DDR4_Driver_Values</v>
      </c>
      <c r="F67" s="162"/>
      <c r="L67" s="132" t="s">
        <v>82</v>
      </c>
      <c r="M67" s="132">
        <v>2</v>
      </c>
      <c r="N67" s="132">
        <v>9</v>
      </c>
      <c r="O67" s="132">
        <v>1</v>
      </c>
    </row>
    <row r="68" spans="1:15" hidden="1">
      <c r="E68" s="162" t="str">
        <f>IF(Memory_Type="LPDDR4","AM65x_LPDDR4_ODT_Values",IF(Memory_Type="DDR4","AM65x_DDR4_ODT_Values","AM65x_DDR3_ODT_Values"))</f>
        <v>AM65x_DDR4_ODT_Values</v>
      </c>
      <c r="L68" s="132" t="s">
        <v>83</v>
      </c>
      <c r="M68" s="132">
        <v>4</v>
      </c>
      <c r="N68" s="132">
        <v>10</v>
      </c>
      <c r="O68" s="132">
        <v>2</v>
      </c>
    </row>
    <row r="69" spans="1:15" hidden="1">
      <c r="E69" s="162" t="str">
        <f>IF(Memory_Type="LPDDR4","AM65x_LPDDR4_Driver_Values",IF(Memory_Type="DDR4","AM65x_DDR4_Driver_Values","AM65x_DDR3_Driver_Values"))</f>
        <v>AM65x_DDR4_Driver_Values</v>
      </c>
      <c r="M69" s="132">
        <v>8</v>
      </c>
      <c r="N69" s="132">
        <v>11</v>
      </c>
      <c r="O69" s="132">
        <v>4</v>
      </c>
    </row>
    <row r="70" spans="1:15" hidden="1">
      <c r="O70" s="132">
        <v>8</v>
      </c>
    </row>
    <row r="71" spans="1:15" hidden="1">
      <c r="O71" s="132">
        <v>16</v>
      </c>
    </row>
    <row r="72" spans="1:15" hidden="1">
      <c r="O72" s="132">
        <v>32</v>
      </c>
    </row>
    <row r="73" spans="1:15" hidden="1"/>
    <row r="74" spans="1:15" hidden="1"/>
    <row r="75" spans="1:15" hidden="1">
      <c r="C75" s="221" t="s">
        <v>156</v>
      </c>
    </row>
    <row r="76" spans="1:15" hidden="1">
      <c r="C76" s="132">
        <v>800</v>
      </c>
    </row>
    <row r="77" spans="1:15" hidden="1">
      <c r="B77" s="221" t="s">
        <v>155</v>
      </c>
      <c r="C77" s="132">
        <v>1066</v>
      </c>
      <c r="E77" s="165"/>
      <c r="G77" s="162"/>
      <c r="H77" s="162"/>
      <c r="I77" s="162"/>
    </row>
    <row r="78" spans="1:15" hidden="1">
      <c r="A78" s="132">
        <v>16</v>
      </c>
      <c r="B78" s="162" t="s">
        <v>2286</v>
      </c>
      <c r="C78" s="132">
        <v>1333</v>
      </c>
      <c r="D78" s="222" t="s">
        <v>2333</v>
      </c>
      <c r="F78" s="132">
        <v>9</v>
      </c>
      <c r="M78" s="162"/>
    </row>
    <row r="79" spans="1:15" hidden="1">
      <c r="A79" s="132">
        <v>32</v>
      </c>
      <c r="B79" s="162" t="s">
        <v>153</v>
      </c>
      <c r="C79" s="132">
        <v>1600</v>
      </c>
      <c r="D79" s="222" t="s">
        <v>2334</v>
      </c>
      <c r="F79" s="132">
        <v>10</v>
      </c>
      <c r="M79" s="162"/>
    </row>
    <row r="80" spans="1:15" hidden="1">
      <c r="B80" s="132" t="s">
        <v>154</v>
      </c>
      <c r="C80" s="132">
        <v>1866</v>
      </c>
      <c r="D80" s="222" t="s">
        <v>2335</v>
      </c>
      <c r="F80" s="132">
        <v>11</v>
      </c>
    </row>
    <row r="81" spans="1:16" hidden="1">
      <c r="C81" s="132">
        <v>2133</v>
      </c>
      <c r="D81" s="222" t="s">
        <v>2336</v>
      </c>
      <c r="F81" s="132">
        <v>12</v>
      </c>
    </row>
    <row r="82" spans="1:16" hidden="1">
      <c r="F82" s="132">
        <v>13</v>
      </c>
    </row>
    <row r="83" spans="1:16" hidden="1">
      <c r="A83" s="221"/>
      <c r="B83" s="221"/>
      <c r="F83" s="132">
        <v>14</v>
      </c>
      <c r="O83" s="166"/>
      <c r="P83" s="166"/>
    </row>
    <row r="84" spans="1:16" hidden="1">
      <c r="A84" s="166"/>
      <c r="B84" s="166"/>
      <c r="D84" s="165"/>
      <c r="F84" s="132">
        <v>15</v>
      </c>
      <c r="O84" s="166"/>
      <c r="P84" s="166"/>
    </row>
    <row r="85" spans="1:16" hidden="1">
      <c r="A85" s="166"/>
      <c r="B85" s="166"/>
      <c r="F85" s="132">
        <v>16</v>
      </c>
      <c r="O85" s="166"/>
      <c r="P85" s="166"/>
    </row>
    <row r="86" spans="1:16" hidden="1">
      <c r="A86" s="166"/>
      <c r="B86" s="166"/>
      <c r="F86" s="132">
        <v>17</v>
      </c>
      <c r="O86" s="166"/>
      <c r="P86" s="166"/>
    </row>
    <row r="87" spans="1:16">
      <c r="A87" s="166"/>
      <c r="B87" s="166"/>
      <c r="O87" s="166"/>
      <c r="P87" s="166"/>
    </row>
    <row r="88" spans="1:16">
      <c r="A88" s="166"/>
      <c r="B88" s="166"/>
      <c r="L88" s="132" t="e">
        <f>IF(AND(E14="DDR3",#REF!="MR1"),1,IF(AND(E14="DDR3",#REF!="MR2"),1,IF(AND(E14="DDR3",#REF!="MR10"),1,IF(AND(E14="LPDDR2",#REF!="NA"),1,0))))</f>
        <v>#REF!</v>
      </c>
      <c r="M88" s="132" t="e">
        <f>IF(AND(E14="DDR3",#REF!=2),1,IF(AND(E14="DDR3",#REF!=67),1,IF(AND(E14="DDR3",#REF!=86),1,IF(AND(E14="LPDDR2",#REF!="NA"),1,0))))</f>
        <v>#REF!</v>
      </c>
      <c r="O88" s="166"/>
      <c r="P88" s="166"/>
    </row>
    <row r="89" spans="1:16">
      <c r="A89" s="166"/>
      <c r="O89" s="166"/>
      <c r="P89" s="164"/>
    </row>
    <row r="90" spans="1:16">
      <c r="A90" s="166"/>
      <c r="D90" s="166"/>
      <c r="E90" s="166"/>
      <c r="O90" s="166"/>
      <c r="P90" s="166"/>
    </row>
    <row r="91" spans="1:16">
      <c r="C91" s="162"/>
      <c r="D91" s="164"/>
      <c r="E91" s="166"/>
      <c r="F91" s="165"/>
      <c r="O91" s="166"/>
      <c r="P91" s="166"/>
    </row>
    <row r="92" spans="1:16">
      <c r="C92" s="162"/>
      <c r="D92" s="164"/>
      <c r="E92" s="166"/>
      <c r="O92" s="166"/>
      <c r="P92" s="166"/>
    </row>
    <row r="93" spans="1:16">
      <c r="C93" s="162"/>
      <c r="D93" s="164"/>
      <c r="E93" s="166"/>
      <c r="O93" s="166"/>
      <c r="P93" s="166"/>
    </row>
    <row r="94" spans="1:16">
      <c r="E94" s="166"/>
      <c r="O94" s="166"/>
      <c r="P94" s="166"/>
    </row>
    <row r="95" spans="1:16">
      <c r="E95" s="166"/>
      <c r="O95" s="166"/>
      <c r="P95" s="166"/>
    </row>
    <row r="96" spans="1:16">
      <c r="D96" s="166"/>
      <c r="O96" s="166"/>
      <c r="P96" s="166"/>
    </row>
    <row r="97" spans="4:16">
      <c r="D97" s="164"/>
      <c r="O97" s="166"/>
      <c r="P97" s="166"/>
    </row>
    <row r="98" spans="4:16">
      <c r="D98" s="166"/>
      <c r="O98" s="166"/>
      <c r="P98" s="166"/>
    </row>
    <row r="99" spans="4:16">
      <c r="D99" s="166"/>
      <c r="O99" s="166"/>
      <c r="P99" s="166"/>
    </row>
    <row r="100" spans="4:16">
      <c r="O100" s="166"/>
      <c r="P100" s="166"/>
    </row>
    <row r="101" spans="4:16">
      <c r="E101" s="165"/>
      <c r="O101" s="166"/>
      <c r="P101" s="166"/>
    </row>
    <row r="102" spans="4:16">
      <c r="D102" s="166"/>
    </row>
    <row r="103" spans="4:16">
      <c r="D103" s="164"/>
      <c r="L103" s="162"/>
    </row>
    <row r="104" spans="4:16">
      <c r="D104" s="164"/>
    </row>
    <row r="105" spans="4:16">
      <c r="D105" s="164"/>
    </row>
    <row r="106" spans="4:16">
      <c r="D106" s="164"/>
    </row>
    <row r="109" spans="4:16">
      <c r="D109" s="166"/>
    </row>
    <row r="110" spans="4:16">
      <c r="D110" s="164"/>
    </row>
    <row r="111" spans="4:16">
      <c r="D111" s="164"/>
    </row>
    <row r="112" spans="4:16">
      <c r="D112" s="164"/>
    </row>
    <row r="113" spans="4:4">
      <c r="D113" s="164"/>
    </row>
  </sheetData>
  <sheetProtection password="8E0D" sheet="1" objects="1" scenarios="1"/>
  <mergeCells count="8">
    <mergeCell ref="B22:G23"/>
    <mergeCell ref="B31:G32"/>
    <mergeCell ref="B51:G52"/>
    <mergeCell ref="B1:I3"/>
    <mergeCell ref="B4:I5"/>
    <mergeCell ref="B11:G12"/>
    <mergeCell ref="B40:G41"/>
    <mergeCell ref="G24:G28"/>
  </mergeCells>
  <phoneticPr fontId="59" type="noConversion"/>
  <conditionalFormatting sqref="E25">
    <cfRule type="expression" dxfId="5" priority="16">
      <formula>D88=1</formula>
    </cfRule>
  </conditionalFormatting>
  <conditionalFormatting sqref="E18">
    <cfRule type="expression" dxfId="4" priority="9">
      <formula>J88=1</formula>
    </cfRule>
  </conditionalFormatting>
  <conditionalFormatting sqref="E44">
    <cfRule type="expression" dxfId="3" priority="3">
      <formula>Q83=1</formula>
    </cfRule>
  </conditionalFormatting>
  <conditionalFormatting sqref="E45">
    <cfRule type="expression" dxfId="2" priority="2">
      <formula>Q88=1</formula>
    </cfRule>
  </conditionalFormatting>
  <dataValidations xWindow="1741" yWindow="979" count="21">
    <dataValidation type="list" allowBlank="1" showInputMessage="1" showErrorMessage="1" error="Please ensure the part number is correct, and that the value entered is within the datasheet limits!" sqref="E17" xr:uid="{00000000-0002-0000-0100-000000000000}">
      <formula1>$A$78:$A$79</formula1>
    </dataValidation>
    <dataValidation allowBlank="1" showInputMessage="1" showErrorMessage="1" error="Frequency is beyond the datasheet limits of the selected SOC as of April, 2015. Refer to the latest datasheet for valid frequencies." sqref="E15" xr:uid="{00000000-0002-0000-0100-000001000000}"/>
    <dataValidation type="list" allowBlank="1" showInputMessage="1" showErrorMessage="1" sqref="E35" xr:uid="{00000000-0002-0000-0100-000002000000}">
      <formula1>"disabled,RZQ/1=240ohm,RZQ/2=120ohm,RZQ/3=80ohm"</formula1>
    </dataValidation>
    <dataValidation type="list" allowBlank="1" showInputMessage="1" showErrorMessage="1" sqref="E57:E58" xr:uid="{00000000-0002-0000-0100-000003000000}">
      <formula1>$D$78:$D$81</formula1>
    </dataValidation>
    <dataValidation type="list" allowBlank="1" showInputMessage="1" showErrorMessage="1" sqref="E14" xr:uid="{00000000-0002-0000-0100-000004000000}">
      <formula1>DDR_Type</formula1>
    </dataValidation>
    <dataValidation type="list" allowBlank="1" showInputMessage="1" showErrorMessage="1" sqref="E27" xr:uid="{00000000-0002-0000-0100-000005000000}">
      <formula1>$F$78:$F$86</formula1>
    </dataValidation>
    <dataValidation type="list" allowBlank="1" showInputMessage="1" showErrorMessage="1" sqref="E28" xr:uid="{00000000-0002-0000-0100-000006000000}">
      <formula1>$N$66:$N$69</formula1>
    </dataValidation>
    <dataValidation type="list" allowBlank="1" showInputMessage="1" showErrorMessage="1" sqref="E26" xr:uid="{00000000-0002-0000-0100-000007000000}">
      <formula1>$O$66:$O$72</formula1>
    </dataValidation>
    <dataValidation type="list" allowBlank="1" showInputMessage="1" showErrorMessage="1" error="Please ensure the part number is correct, and that the value entered is within the datasheet limits!" sqref="E19" xr:uid="{00000000-0002-0000-0100-000008000000}">
      <formula1>"Single_Rank,Dual_Rank"</formula1>
    </dataValidation>
    <dataValidation type="list" allowBlank="1" showInputMessage="1" showErrorMessage="1" error="Please ensure the part number is correct, and that the value entered is within the datasheet limits!" sqref="E18" xr:uid="{00000000-0002-0000-0100-000009000000}">
      <formula1>"Yes,No"</formula1>
    </dataValidation>
    <dataValidation type="decimal" allowBlank="1" showInputMessage="1" showErrorMessage="1" sqref="E44" xr:uid="{00000000-0002-0000-0100-00000A000000}">
      <formula1>INDIRECT(O83)</formula1>
      <formula2>INDIRECT(P83)</formula2>
    </dataValidation>
    <dataValidation type="decimal" allowBlank="1" showInputMessage="1" showErrorMessage="1" sqref="E45" xr:uid="{00000000-0002-0000-0100-00000B000000}">
      <formula1>INDIRECT(O88)</formula1>
      <formula2>INDIRECT(P88)</formula2>
    </dataValidation>
    <dataValidation type="list" allowBlank="1" showInputMessage="1" showErrorMessage="1" sqref="E43" xr:uid="{00000000-0002-0000-0100-00000C000000}">
      <formula1>$R$83:$R$84</formula1>
    </dataValidation>
    <dataValidation type="decimal" allowBlank="1" showInputMessage="1" showErrorMessage="1" sqref="E46" xr:uid="{00000000-0002-0000-0100-00000D000000}">
      <formula1>0</formula1>
      <formula2>1</formula2>
    </dataValidation>
    <dataValidation type="decimal" allowBlank="1" showInputMessage="1" showErrorMessage="1" sqref="E47" xr:uid="{00000000-0002-0000-0100-00000E000000}">
      <formula1>0</formula1>
      <formula2>15</formula2>
    </dataValidation>
    <dataValidation type="list" allowBlank="1" showInputMessage="1" showErrorMessage="1" sqref="E36" xr:uid="{00000000-0002-0000-0100-00000F000000}">
      <formula1>INDIRECT($E$67)</formula1>
    </dataValidation>
    <dataValidation type="list" allowBlank="1" showInputMessage="1" showErrorMessage="1" sqref="E34" xr:uid="{00000000-0002-0000-0100-000010000000}">
      <formula1>INDIRECT($E$66)</formula1>
    </dataValidation>
    <dataValidation type="list" allowBlank="1" showInputMessage="1" showErrorMessage="1" sqref="E54" xr:uid="{00000000-0002-0000-0100-000011000000}">
      <formula1>INDIRECT($E$68)</formula1>
    </dataValidation>
    <dataValidation type="list" allowBlank="1" showInputMessage="1" showErrorMessage="1" error="Frequency is beyond the datasheet limits of the selected SOC as of April, 2015. Refer to the latest datasheet for valid frequencies." sqref="E16" xr:uid="{00000000-0002-0000-0100-000012000000}">
      <formula1>"8,16,32"</formula1>
    </dataValidation>
    <dataValidation type="list" allowBlank="1" showInputMessage="1" showErrorMessage="1" sqref="E29" xr:uid="{00000000-0002-0000-0100-000013000000}">
      <formula1>"8,16"</formula1>
    </dataValidation>
    <dataValidation type="list" allowBlank="1" showInputMessage="1" showErrorMessage="1" sqref="E55:E56" xr:uid="{00000000-0002-0000-0100-000014000000}">
      <formula1>INDIRECT($E$69)</formula1>
    </dataValidation>
  </dataValidations>
  <hyperlinks>
    <hyperlink ref="D9" r:id="rId1" xr:uid="{00000000-0004-0000-0100-000000000000}"/>
  </hyperlinks>
  <pageMargins left="0.7" right="0.7" top="0.75" bottom="0.75" header="0.3" footer="0.3"/>
  <pageSetup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82" r:id="rId5" name="Button 10">
              <controlPr defaultSize="0" print="0" autoFill="0" autoPict="0" macro="[0]!SaveUserConfig">
                <anchor moveWithCells="1" sizeWithCells="1">
                  <from>
                    <xdr:col>7</xdr:col>
                    <xdr:colOff>38100</xdr:colOff>
                    <xdr:row>10</xdr:row>
                    <xdr:rowOff>19050</xdr:rowOff>
                  </from>
                  <to>
                    <xdr:col>9</xdr:col>
                    <xdr:colOff>0</xdr:colOff>
                    <xdr:row>11</xdr:row>
                    <xdr:rowOff>85725</xdr:rowOff>
                  </to>
                </anchor>
              </controlPr>
            </control>
          </mc:Choice>
        </mc:AlternateContent>
        <mc:AlternateContent xmlns:mc="http://schemas.openxmlformats.org/markup-compatibility/2006">
          <mc:Choice Requires="x14">
            <control shapeId="3083" r:id="rId6" name="Button 11">
              <controlPr defaultSize="0" print="0" autoFill="0" autoPict="0" macro="[0]!LoadUserConfig">
                <anchor moveWithCells="1" sizeWithCells="1">
                  <from>
                    <xdr:col>7</xdr:col>
                    <xdr:colOff>38100</xdr:colOff>
                    <xdr:row>15</xdr:row>
                    <xdr:rowOff>19050</xdr:rowOff>
                  </from>
                  <to>
                    <xdr:col>9</xdr:col>
                    <xdr:colOff>0</xdr:colOff>
                    <xdr:row>16</xdr:row>
                    <xdr:rowOff>76200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FFFF66"/>
  </sheetPr>
  <dimension ref="A1:O295"/>
  <sheetViews>
    <sheetView zoomScale="85" zoomScaleNormal="85" workbookViewId="0">
      <pane ySplit="19" topLeftCell="A50" activePane="bottomLeft" state="frozen"/>
      <selection pane="bottomLeft" activeCell="F104" sqref="F104"/>
    </sheetView>
  </sheetViews>
  <sheetFormatPr defaultColWidth="9.140625" defaultRowHeight="12.75"/>
  <cols>
    <col min="1" max="1" width="6" style="132" customWidth="1"/>
    <col min="2" max="2" width="25.140625" style="132" customWidth="1"/>
    <col min="3" max="3" width="78" style="132" customWidth="1"/>
    <col min="4" max="4" width="7.5703125" style="132" customWidth="1"/>
    <col min="5" max="5" width="10.42578125" style="132" customWidth="1"/>
    <col min="6" max="6" width="14.85546875" style="132" customWidth="1"/>
    <col min="7" max="7" width="14.5703125" style="132" hidden="1" customWidth="1"/>
    <col min="8" max="8" width="58" style="132" customWidth="1"/>
    <col min="9" max="9" width="43" style="132" customWidth="1"/>
    <col min="10" max="10" width="13.5703125" style="132" customWidth="1"/>
    <col min="11" max="11" width="24.5703125" style="132" hidden="1" customWidth="1"/>
    <col min="12" max="12" width="25.28515625" style="132" hidden="1" customWidth="1"/>
    <col min="13" max="13" width="14.140625" style="132" hidden="1" customWidth="1"/>
    <col min="14" max="14" width="12.42578125" style="132" customWidth="1"/>
    <col min="15" max="16384" width="9.140625" style="132"/>
  </cols>
  <sheetData>
    <row r="1" spans="1:11">
      <c r="A1" s="306"/>
      <c r="B1" s="306"/>
      <c r="C1" s="306"/>
      <c r="D1" s="306"/>
      <c r="E1" s="306"/>
      <c r="F1" s="306"/>
      <c r="G1" s="306"/>
      <c r="H1" s="306"/>
      <c r="I1" s="306"/>
      <c r="J1" s="306"/>
      <c r="K1" s="306"/>
    </row>
    <row r="2" spans="1:11" ht="25.5">
      <c r="A2" s="306"/>
      <c r="B2" s="327" t="s">
        <v>1467</v>
      </c>
      <c r="C2" s="328"/>
      <c r="D2" s="328"/>
      <c r="E2" s="328"/>
      <c r="F2" s="328"/>
      <c r="G2" s="328"/>
      <c r="H2" s="328"/>
      <c r="I2" s="305"/>
      <c r="J2" s="305"/>
      <c r="K2" s="306"/>
    </row>
    <row r="3" spans="1:11" ht="13.5" thickBot="1">
      <c r="A3" s="306"/>
      <c r="B3" s="306"/>
      <c r="C3" s="306"/>
      <c r="D3" s="306"/>
      <c r="E3" s="306"/>
      <c r="F3" s="306"/>
      <c r="G3" s="306"/>
      <c r="H3" s="306"/>
      <c r="I3" s="306"/>
      <c r="J3" s="306"/>
      <c r="K3" s="306"/>
    </row>
    <row r="4" spans="1:11" ht="18.399999999999999" customHeight="1" thickTop="1">
      <c r="A4" s="307"/>
      <c r="B4" s="329" t="s">
        <v>92</v>
      </c>
      <c r="C4" s="330"/>
      <c r="D4" s="330"/>
      <c r="E4" s="330"/>
      <c r="F4" s="330"/>
      <c r="G4" s="330"/>
      <c r="H4" s="331"/>
      <c r="I4" s="323"/>
      <c r="J4" s="323"/>
      <c r="K4" s="323"/>
    </row>
    <row r="5" spans="1:11" ht="12.75" customHeight="1">
      <c r="A5" s="307"/>
      <c r="B5" s="300"/>
      <c r="C5" s="301"/>
      <c r="D5" s="301"/>
      <c r="E5" s="301"/>
      <c r="F5" s="301"/>
      <c r="G5" s="301"/>
      <c r="H5" s="318"/>
      <c r="I5" s="323"/>
      <c r="J5" s="323"/>
      <c r="K5" s="323"/>
    </row>
    <row r="6" spans="1:11" ht="12.75" customHeight="1">
      <c r="A6" s="307"/>
      <c r="B6" s="28" t="s">
        <v>1468</v>
      </c>
      <c r="C6" s="302"/>
      <c r="D6" s="29"/>
      <c r="E6" s="29"/>
      <c r="F6" s="29"/>
      <c r="G6" s="29"/>
      <c r="H6" s="319"/>
      <c r="I6" s="324"/>
      <c r="J6" s="324"/>
      <c r="K6" s="324"/>
    </row>
    <row r="7" spans="1:11" ht="12.75" hidden="1" customHeight="1">
      <c r="A7" s="307"/>
      <c r="B7" s="308" t="s">
        <v>102</v>
      </c>
      <c r="C7" s="302"/>
      <c r="D7" s="30"/>
      <c r="E7" s="32"/>
      <c r="F7" s="32"/>
      <c r="G7" s="32"/>
      <c r="H7" s="320"/>
      <c r="I7" s="325"/>
      <c r="J7" s="325"/>
      <c r="K7" s="326"/>
    </row>
    <row r="8" spans="1:11" ht="12.75" customHeight="1">
      <c r="A8" s="307"/>
      <c r="B8" s="308" t="s">
        <v>1469</v>
      </c>
      <c r="C8" s="302"/>
      <c r="D8" s="30"/>
      <c r="E8" s="32"/>
      <c r="F8" s="32"/>
      <c r="G8" s="32"/>
      <c r="H8" s="320"/>
      <c r="I8" s="325"/>
      <c r="J8" s="325"/>
      <c r="K8" s="326"/>
    </row>
    <row r="9" spans="1:11" ht="12.75" customHeight="1">
      <c r="A9" s="307"/>
      <c r="B9" s="308" t="s">
        <v>1470</v>
      </c>
      <c r="C9" s="302"/>
      <c r="D9" s="30"/>
      <c r="E9" s="32"/>
      <c r="F9" s="32"/>
      <c r="G9" s="32"/>
      <c r="H9" s="320"/>
      <c r="I9" s="325"/>
      <c r="J9" s="325"/>
      <c r="K9" s="326"/>
    </row>
    <row r="10" spans="1:11" ht="12.75" customHeight="1">
      <c r="A10" s="307"/>
      <c r="B10" s="8" t="s">
        <v>1471</v>
      </c>
      <c r="C10" s="302"/>
      <c r="D10" s="31"/>
      <c r="E10" s="32"/>
      <c r="F10" s="32"/>
      <c r="G10" s="32"/>
      <c r="H10" s="320"/>
      <c r="I10" s="325"/>
      <c r="J10" s="325"/>
      <c r="K10" s="326"/>
    </row>
    <row r="11" spans="1:11" ht="12.75" customHeight="1">
      <c r="A11" s="307"/>
      <c r="B11" s="15" t="s">
        <v>94</v>
      </c>
      <c r="C11" s="302"/>
      <c r="D11" s="31"/>
      <c r="E11" s="32"/>
      <c r="F11" s="32"/>
      <c r="G11" s="32"/>
      <c r="H11" s="320"/>
      <c r="I11" s="325"/>
      <c r="J11" s="325"/>
      <c r="K11" s="326"/>
    </row>
    <row r="12" spans="1:11" ht="12.75" hidden="1" customHeight="1">
      <c r="A12" s="307"/>
      <c r="B12" s="310"/>
      <c r="C12" s="31"/>
      <c r="D12" s="30"/>
      <c r="E12" s="32"/>
      <c r="F12" s="32"/>
      <c r="G12" s="32"/>
      <c r="H12" s="32"/>
      <c r="I12" s="321"/>
      <c r="J12" s="321"/>
      <c r="K12" s="322"/>
    </row>
    <row r="13" spans="1:11" ht="12.75" hidden="1" customHeight="1">
      <c r="A13" s="307"/>
      <c r="B13" s="310"/>
      <c r="C13" s="31" t="s">
        <v>96</v>
      </c>
      <c r="D13" s="30" t="s">
        <v>97</v>
      </c>
      <c r="E13" s="32"/>
      <c r="F13" s="32"/>
      <c r="G13" s="32"/>
      <c r="H13" s="32"/>
      <c r="I13" s="32"/>
      <c r="J13" s="32"/>
      <c r="K13" s="309"/>
    </row>
    <row r="14" spans="1:11" ht="12.75" hidden="1" customHeight="1">
      <c r="A14" s="307"/>
      <c r="B14" s="311"/>
      <c r="C14" s="31" t="s">
        <v>98</v>
      </c>
      <c r="D14" s="33" t="s">
        <v>99</v>
      </c>
      <c r="E14" s="312"/>
      <c r="F14" s="312"/>
      <c r="G14" s="312"/>
      <c r="H14" s="312"/>
      <c r="I14" s="312"/>
      <c r="J14" s="312"/>
      <c r="K14" s="313"/>
    </row>
    <row r="15" spans="1:11" ht="12.75" hidden="1" customHeight="1">
      <c r="A15" s="307"/>
      <c r="B15" s="311"/>
      <c r="C15" s="31" t="s">
        <v>100</v>
      </c>
      <c r="D15" s="33" t="s">
        <v>101</v>
      </c>
      <c r="E15" s="312"/>
      <c r="F15" s="312"/>
      <c r="G15" s="312"/>
      <c r="H15" s="312"/>
      <c r="I15" s="312"/>
      <c r="J15" s="312"/>
      <c r="K15" s="313"/>
    </row>
    <row r="16" spans="1:11" ht="12.75" hidden="1" customHeight="1">
      <c r="A16" s="307"/>
      <c r="B16" s="311"/>
      <c r="C16" s="38"/>
      <c r="D16" s="33"/>
      <c r="E16" s="312"/>
      <c r="F16" s="312"/>
      <c r="G16" s="312"/>
      <c r="H16" s="312"/>
      <c r="I16" s="312"/>
      <c r="J16" s="312"/>
      <c r="K16" s="313"/>
    </row>
    <row r="17" spans="1:13" ht="12.75" hidden="1" customHeight="1">
      <c r="A17" s="307"/>
      <c r="B17" s="311"/>
      <c r="C17" s="314"/>
      <c r="D17" s="33"/>
      <c r="E17" s="312"/>
      <c r="F17" s="312"/>
      <c r="G17" s="312"/>
      <c r="H17" s="312"/>
      <c r="I17" s="312"/>
      <c r="J17" s="312"/>
      <c r="K17" s="313"/>
    </row>
    <row r="18" spans="1:13" ht="12.75" hidden="1" customHeight="1" thickBot="1">
      <c r="A18" s="307"/>
      <c r="B18" s="315"/>
      <c r="C18" s="316"/>
      <c r="D18" s="316"/>
      <c r="E18" s="316"/>
      <c r="F18" s="316"/>
      <c r="G18" s="316"/>
      <c r="H18" s="34"/>
      <c r="I18" s="34"/>
      <c r="J18" s="34"/>
      <c r="K18" s="317"/>
    </row>
    <row r="19" spans="1:13" ht="12.75" customHeight="1" thickBot="1">
      <c r="A19" s="306"/>
      <c r="B19" s="314"/>
      <c r="C19" s="357" t="s">
        <v>1483</v>
      </c>
      <c r="D19" s="314"/>
      <c r="E19" s="314"/>
      <c r="F19" s="314"/>
      <c r="G19" s="314"/>
      <c r="H19" s="314"/>
      <c r="I19" s="306"/>
      <c r="J19" s="306"/>
      <c r="K19" s="306"/>
    </row>
    <row r="20" spans="1:13" ht="13.5" thickTop="1"/>
    <row r="21" spans="1:13" ht="13.5" thickBot="1">
      <c r="B21" s="133"/>
      <c r="C21" s="134"/>
      <c r="D21" s="484" t="s">
        <v>47</v>
      </c>
      <c r="E21" s="485"/>
      <c r="F21" s="134"/>
      <c r="G21" s="134"/>
      <c r="H21" s="134"/>
    </row>
    <row r="22" spans="1:13" ht="12.6" customHeight="1">
      <c r="B22" s="486" t="s">
        <v>48</v>
      </c>
      <c r="C22" s="488" t="s">
        <v>24</v>
      </c>
      <c r="D22" s="490" t="s">
        <v>49</v>
      </c>
      <c r="E22" s="490"/>
      <c r="F22" s="135"/>
      <c r="G22" s="136"/>
      <c r="H22" s="135"/>
    </row>
    <row r="23" spans="1:13" ht="25.5">
      <c r="B23" s="487"/>
      <c r="C23" s="489"/>
      <c r="D23" s="137" t="s">
        <v>2</v>
      </c>
      <c r="E23" s="137" t="s">
        <v>3</v>
      </c>
      <c r="F23" s="138" t="s">
        <v>350</v>
      </c>
      <c r="G23" s="75"/>
      <c r="H23" s="138" t="s">
        <v>1340</v>
      </c>
    </row>
    <row r="24" spans="1:13">
      <c r="B24" s="139" t="str">
        <f>IF(Memory_Type="LPDDR4","Read_Latency_(RL)","CAS_Latency")</f>
        <v>CAS_Latency</v>
      </c>
      <c r="C24" s="140" t="s">
        <v>51</v>
      </c>
      <c r="D24" s="168">
        <v>12</v>
      </c>
      <c r="E24" s="349"/>
      <c r="F24" s="141">
        <f t="shared" ref="F24:F39" si="0">MAX(D24*$A$246,E24)</f>
        <v>18</v>
      </c>
      <c r="G24" s="76"/>
      <c r="H24" s="142"/>
      <c r="K24" s="132" t="str">
        <f t="shared" ref="K24:K89" si="1">B24</f>
        <v>CAS_Latency</v>
      </c>
      <c r="L24" s="165">
        <f>D24</f>
        <v>12</v>
      </c>
      <c r="M24" s="163" t="s">
        <v>1438</v>
      </c>
    </row>
    <row r="25" spans="1:13">
      <c r="B25" s="139" t="str">
        <f>IF(Memory_Type="LPDDR4","Write_Latency_(WL)","CAS_Write_Latency_(CWL)")</f>
        <v>CAS_Write_Latency_(CWL)</v>
      </c>
      <c r="C25" s="140" t="s">
        <v>53</v>
      </c>
      <c r="D25" s="168">
        <v>9</v>
      </c>
      <c r="E25" s="349"/>
      <c r="F25" s="141">
        <f t="shared" si="0"/>
        <v>13.5</v>
      </c>
      <c r="G25" s="76"/>
      <c r="H25" s="143"/>
      <c r="K25" s="132" t="str">
        <f t="shared" si="1"/>
        <v>CAS_Write_Latency_(CWL)</v>
      </c>
      <c r="L25" s="165">
        <f t="shared" ref="L25:L89" si="2">D25</f>
        <v>9</v>
      </c>
      <c r="M25" s="163" t="s">
        <v>1438</v>
      </c>
    </row>
    <row r="26" spans="1:13">
      <c r="B26" s="139" t="s">
        <v>1510</v>
      </c>
      <c r="C26" s="140" t="s">
        <v>1498</v>
      </c>
      <c r="D26" s="349">
        <f>CWL+AL+PL</f>
        <v>9</v>
      </c>
      <c r="E26" s="349"/>
      <c r="F26" s="141">
        <f t="shared" si="0"/>
        <v>13.5</v>
      </c>
      <c r="G26" s="76"/>
      <c r="H26" s="143"/>
      <c r="K26" s="132" t="str">
        <f t="shared" si="1"/>
        <v>Write_Latency_(WL)</v>
      </c>
      <c r="L26" s="165" t="s">
        <v>1438</v>
      </c>
      <c r="M26" s="163" t="s">
        <v>1438</v>
      </c>
    </row>
    <row r="27" spans="1:13">
      <c r="B27" s="139" t="s">
        <v>86</v>
      </c>
      <c r="C27" s="140" t="s">
        <v>1043</v>
      </c>
      <c r="D27" s="349">
        <f>IF(Memory_Type="LPDDR4",IF(Registers!$F$890=0,RL+ROUNDUP(tDQSCKmax/tCK,2)+BL/2-WL+tWPRE+ROUNDDOWN(tRPST,2),RL+ROUNDUP(tDQSCKmax/tCK,2)+BL/2-ODTLon-ROUNDDOWN(tODTon_min/tCK,2))+1,IF(Memory_Type="DDR3L",RL+tCCD_L-WL+2*tCK,CL-CWL+BL/2+tCK+tWPRE))</f>
        <v>10</v>
      </c>
      <c r="E27" s="349"/>
      <c r="F27" s="141">
        <f t="shared" si="0"/>
        <v>15</v>
      </c>
      <c r="G27" s="76"/>
      <c r="H27" s="143"/>
      <c r="K27" s="132" t="str">
        <f t="shared" si="1"/>
        <v>tRTW</v>
      </c>
      <c r="L27" s="165" t="s">
        <v>1438</v>
      </c>
      <c r="M27" s="163" t="s">
        <v>1438</v>
      </c>
    </row>
    <row r="28" spans="1:13">
      <c r="B28" s="144" t="s">
        <v>4</v>
      </c>
      <c r="C28" s="39" t="s">
        <v>54</v>
      </c>
      <c r="D28" s="168">
        <v>0</v>
      </c>
      <c r="E28" s="168">
        <v>13.32</v>
      </c>
      <c r="F28" s="141">
        <f t="shared" si="0"/>
        <v>13.32</v>
      </c>
      <c r="G28" s="76" t="e">
        <f>IF(OR('Step1-System Details'!$E$14="DDR3",'Step1-System Details'!$E$14="DDR4"),IF('Step1-System Details'!$E$25=2133,D247,IF('Step1-System Details'!$E$25=1866,E247,IF('Step1-System Details'!$E$25=1600,F247,IF('Step1-System Details'!$E$25=1333,G247,IF('Step1-System Details'!$E$25=1066,H247,IF('Step1-System Details'!$E$25=800,I247,"")))))),IF('Step1-System Details'!$E$25=1066,J249,IF('Step1-System Details'!$E$25=933,K249,IF('Step1-System Details'!$E$25=800,L249,IF('Step1-System Details'!$E$25=667,M249,IF('Step1-System Details'!$E$25=533,N249,""))))))</f>
        <v>#NAME?</v>
      </c>
      <c r="H28" s="143" t="s">
        <v>1522</v>
      </c>
      <c r="K28" s="132" t="str">
        <f t="shared" si="1"/>
        <v>tRP</v>
      </c>
      <c r="L28" s="165">
        <f t="shared" si="2"/>
        <v>0</v>
      </c>
      <c r="M28" s="165">
        <f t="shared" ref="M28:M89" si="3">E28</f>
        <v>13.32</v>
      </c>
    </row>
    <row r="29" spans="1:13">
      <c r="B29" s="144" t="s">
        <v>5</v>
      </c>
      <c r="C29" s="39" t="s">
        <v>55</v>
      </c>
      <c r="D29" s="168">
        <v>0</v>
      </c>
      <c r="E29" s="168">
        <v>13.32</v>
      </c>
      <c r="F29" s="141">
        <f t="shared" si="0"/>
        <v>13.32</v>
      </c>
      <c r="G29" s="76" t="e">
        <f>IF(OR('Step1-System Details'!$E$14="DDR3",'Step1-System Details'!$E$14="DDR4"),IF('Step1-System Details'!$E$25=2133,D248,IF('Step1-System Details'!$E$25=1866,E248,IF('Step1-System Details'!$E$25=1600,F248,IF('Step1-System Details'!$E$25=1333,G248,IF('Step1-System Details'!$E$25=1066,H248,IF('Step1-System Details'!$E$25=800,I248,"")))))),IF('Step1-System Details'!$E$25=1066,J250,IF('Step1-System Details'!$E$25=933,K250,IF('Step1-System Details'!$E$25=800,L250,IF('Step1-System Details'!$E$25=667,M250,IF('Step1-System Details'!$E$25=533,N250,""))))))</f>
        <v>#NAME?</v>
      </c>
      <c r="H29" s="143"/>
      <c r="K29" s="132" t="str">
        <f t="shared" si="1"/>
        <v>tRCD</v>
      </c>
      <c r="L29" s="165">
        <f t="shared" si="2"/>
        <v>0</v>
      </c>
      <c r="M29" s="165">
        <f t="shared" si="3"/>
        <v>13.32</v>
      </c>
    </row>
    <row r="30" spans="1:13">
      <c r="B30" s="144" t="s">
        <v>6</v>
      </c>
      <c r="C30" s="39" t="s">
        <v>56</v>
      </c>
      <c r="D30" s="168">
        <v>0</v>
      </c>
      <c r="E30" s="168">
        <v>15</v>
      </c>
      <c r="F30" s="141">
        <f t="shared" si="0"/>
        <v>15</v>
      </c>
      <c r="G30" s="76">
        <f>IF(OR('Step1-System Details'!$E$14="DDR3",'Step1-System Details'!$E$14="DDR4"),IF('Step1-System Details'!$E$25=2133,D249,IF('Step1-System Details'!$E$25=1866,E249,IF('Step1-System Details'!$E$25=1600,F249,IF('Step1-System Details'!$E$25=1333,G249,IF('Step1-System Details'!$E$25=1066,H249,IF('Step1-System Details'!$E$25=800,I249,"")))))),IF('Step1-System Details'!$E$25=1066,J251,IF('Step1-System Details'!$E$25=933,K251,IF('Step1-System Details'!$E$25=800,L251,IF('Step1-System Details'!$E$25=667,M251,IF('Step1-System Details'!$E$25=533,N251,""))))))</f>
        <v>10</v>
      </c>
      <c r="H30" s="143"/>
      <c r="K30" s="132" t="str">
        <f t="shared" si="1"/>
        <v>tWR</v>
      </c>
      <c r="L30" s="165">
        <f t="shared" si="2"/>
        <v>0</v>
      </c>
      <c r="M30" s="165">
        <f t="shared" si="3"/>
        <v>15</v>
      </c>
    </row>
    <row r="31" spans="1:13">
      <c r="B31" s="144" t="s">
        <v>57</v>
      </c>
      <c r="C31" s="39" t="s">
        <v>58</v>
      </c>
      <c r="D31" s="168">
        <v>0</v>
      </c>
      <c r="E31" s="168">
        <v>32</v>
      </c>
      <c r="F31" s="141">
        <f t="shared" si="0"/>
        <v>32</v>
      </c>
      <c r="G31" s="76">
        <f>IF(OR('Step1-System Details'!$E$14="DDR3",'Step1-System Details'!$E$14="DDR4"),IF('Step1-System Details'!$E$25=2133,D250,IF('Step1-System Details'!$E$25=1866,E250,IF('Step1-System Details'!$E$25=1600,F250,IF('Step1-System Details'!$E$25=1333,G250,IF('Step1-System Details'!$E$25=1066,H250,IF('Step1-System Details'!$E$25=800,I250,"")))))),IF('Step1-System Details'!$E$25=1066,J252,IF('Step1-System Details'!$E$25=933,K252,IF('Step1-System Details'!$E$25=800,L252,IF('Step1-System Details'!$E$25=667,M252,IF('Step1-System Details'!$E$25=533,N252,""))))))</f>
        <v>24</v>
      </c>
      <c r="H31" s="143"/>
      <c r="K31" s="132" t="str">
        <f t="shared" si="1"/>
        <v>tRAS</v>
      </c>
      <c r="L31" s="165">
        <f t="shared" si="2"/>
        <v>0</v>
      </c>
      <c r="M31" s="165">
        <f t="shared" si="3"/>
        <v>32</v>
      </c>
    </row>
    <row r="32" spans="1:13">
      <c r="B32" s="144" t="s">
        <v>7</v>
      </c>
      <c r="C32" s="39" t="s">
        <v>59</v>
      </c>
      <c r="D32" s="168">
        <v>0</v>
      </c>
      <c r="E32" s="145">
        <f>tRAS+tRP</f>
        <v>45.32</v>
      </c>
      <c r="F32" s="141">
        <f t="shared" si="0"/>
        <v>45.32</v>
      </c>
      <c r="G32" s="76" t="e">
        <f>IF(OR('Step1-System Details'!$E$14="DDR3",'Step1-System Details'!$E$14="DDR4"),IF('Step1-System Details'!$E$25=2133,D251,IF('Step1-System Details'!$E$25=1866,E251,IF('Step1-System Details'!$E$25=1600,F251,IF('Step1-System Details'!$E$25=1333,G251,IF('Step1-System Details'!$E$25=1066,H251,IF('Step1-System Details'!$E$25=800,I251,"")))))),IF('Step1-System Details'!$E$25=1066,J253,IF('Step1-System Details'!$E$25=933,K253,IF('Step1-System Details'!$E$25=800,L253,IF('Step1-System Details'!$E$25=667,M253,IF('Step1-System Details'!$E$25=533,N253,""))))))</f>
        <v>#NAME?</v>
      </c>
      <c r="H32" s="143"/>
      <c r="K32" s="132" t="str">
        <f t="shared" si="1"/>
        <v>tRC</v>
      </c>
      <c r="L32" s="165">
        <f t="shared" si="2"/>
        <v>0</v>
      </c>
      <c r="M32" s="163" t="s">
        <v>1438</v>
      </c>
    </row>
    <row r="33" spans="2:13">
      <c r="B33" s="144" t="s">
        <v>149</v>
      </c>
      <c r="C33" s="39" t="s">
        <v>150</v>
      </c>
      <c r="D33" s="168">
        <v>20</v>
      </c>
      <c r="E33" s="168">
        <v>21</v>
      </c>
      <c r="F33" s="141">
        <f t="shared" si="0"/>
        <v>30</v>
      </c>
      <c r="G33" s="76" t="e">
        <f>IF(OR('Step1-System Details'!$E$14="DDR3",'Step1-System Details'!$E$14="DDR4"),IF('Step1-System Details'!$E$25=2133,D252,IF('Step1-System Details'!$E$25=1866,E252,IF('Step1-System Details'!$E$25=1600,F252,IF('Step1-System Details'!$E$25=1333,G252,IF('Step1-System Details'!$E$25=1066,H252,IF('Step1-System Details'!$E$25=800,I252,"")))))),IF('Step1-System Details'!$E$25=1066,J254,IF('Step1-System Details'!$E$25=933,K254,IF('Step1-System Details'!$E$25=800,L254,IF('Step1-System Details'!$E$25=667,M254,IF('Step1-System Details'!$E$25=533,N254,""))))))</f>
        <v>#REF!</v>
      </c>
      <c r="H33" s="143"/>
      <c r="K33" s="132" t="str">
        <f t="shared" si="1"/>
        <v>tFAW</v>
      </c>
      <c r="L33" s="165">
        <f t="shared" si="2"/>
        <v>20</v>
      </c>
      <c r="M33" s="165">
        <f t="shared" si="3"/>
        <v>21</v>
      </c>
    </row>
    <row r="34" spans="2:13">
      <c r="B34" s="144" t="str">
        <f>IF(Memory_Type="DDR4","tRRD_L","tRRD")</f>
        <v>tRRD_L</v>
      </c>
      <c r="C34" s="39" t="s">
        <v>60</v>
      </c>
      <c r="D34" s="168">
        <v>4</v>
      </c>
      <c r="E34" s="168">
        <v>4.9000000000000004</v>
      </c>
      <c r="F34" s="141">
        <f t="shared" si="0"/>
        <v>6</v>
      </c>
      <c r="G34" s="76" t="e">
        <f>IF(OR('Step1-System Details'!$E$14="DDR3",'Step1-System Details'!$E$14="DDR4"),IF('Step1-System Details'!$E$25=2133,D253,IF('Step1-System Details'!$E$25=1866,E253,IF('Step1-System Details'!$E$25=1600,F253,IF('Step1-System Details'!$E$25=1333,G253,IF('Step1-System Details'!$E$25=1066,H253,IF('Step1-System Details'!$E$25=800,I253,"")))))),IF('Step1-System Details'!$E$25=1066,J255,IF('Step1-System Details'!$E$25=933,K255,IF('Step1-System Details'!$E$25=800,L255,IF('Step1-System Details'!$E$25=667,M255,IF('Step1-System Details'!$E$25=533,N255,""))))))</f>
        <v>#REF!</v>
      </c>
      <c r="H34" s="143"/>
      <c r="K34" s="132" t="str">
        <f t="shared" si="1"/>
        <v>tRRD_L</v>
      </c>
      <c r="L34" s="165">
        <f t="shared" si="2"/>
        <v>4</v>
      </c>
      <c r="M34" s="165">
        <f t="shared" si="3"/>
        <v>4.9000000000000004</v>
      </c>
    </row>
    <row r="35" spans="2:13">
      <c r="B35" s="144" t="str">
        <f>IF(Memory_Type="DDR4","tWTR_L","tWTR")</f>
        <v>tWTR_L</v>
      </c>
      <c r="C35" s="39" t="s">
        <v>61</v>
      </c>
      <c r="D35" s="168">
        <v>4</v>
      </c>
      <c r="E35" s="168">
        <v>7.5</v>
      </c>
      <c r="F35" s="141">
        <f t="shared" si="0"/>
        <v>7.5</v>
      </c>
      <c r="G35" s="76">
        <f>IF(OR('Step1-System Details'!$E$14="DDR3",'Step1-System Details'!$E$14="DDR4"),IF('Step1-System Details'!$E$25=2133,D254,IF('Step1-System Details'!$E$25=1866,E254,IF('Step1-System Details'!$E$25=1600,F254,IF('Step1-System Details'!$E$25=1333,G254,IF('Step1-System Details'!$E$25=1066,H254,IF('Step1-System Details'!$E$25=800,I254,"")))))),IF('Step1-System Details'!$E$25=1066,J256,IF('Step1-System Details'!$E$25=933,K256,IF('Step1-System Details'!$E$25=800,L256,IF('Step1-System Details'!$E$25=667,M256,IF('Step1-System Details'!$E$25=533,N256,""))))))</f>
        <v>5</v>
      </c>
      <c r="H35" s="143"/>
      <c r="K35" s="132" t="str">
        <f t="shared" si="1"/>
        <v>tWTR_L</v>
      </c>
      <c r="L35" s="165">
        <f t="shared" si="2"/>
        <v>4</v>
      </c>
      <c r="M35" s="165">
        <f t="shared" si="3"/>
        <v>7.5</v>
      </c>
    </row>
    <row r="36" spans="2:13">
      <c r="B36" s="144" t="s">
        <v>10</v>
      </c>
      <c r="C36" s="39" t="s">
        <v>62</v>
      </c>
      <c r="D36" s="168">
        <v>4</v>
      </c>
      <c r="E36" s="168">
        <v>6</v>
      </c>
      <c r="F36" s="141">
        <f t="shared" si="0"/>
        <v>6</v>
      </c>
      <c r="G36" s="76">
        <f>IF(OR('Step1-System Details'!$E$14="DDR3",'Step1-System Details'!$E$14="DDR4"),IF('Step1-System Details'!$E$25=2133,D255,IF('Step1-System Details'!$E$25=1866,E255,IF('Step1-System Details'!$E$25=1600,F255,IF('Step1-System Details'!$E$25=1333,G255,IF('Step1-System Details'!$E$25=1066,H255,IF('Step1-System Details'!$E$25=800,I255,"")))))),IF('Step1-System Details'!$E$25=1066,J257,IF('Step1-System Details'!$E$25=933,K257,IF('Step1-System Details'!$E$25=800,L257,IF('Step1-System Details'!$E$25=667,M257,IF('Step1-System Details'!$E$25=533,N257,""))))))</f>
        <v>4</v>
      </c>
      <c r="H36" s="143"/>
      <c r="K36" s="132" t="str">
        <f t="shared" si="1"/>
        <v>tXP</v>
      </c>
      <c r="L36" s="165">
        <f t="shared" si="2"/>
        <v>4</v>
      </c>
      <c r="M36" s="165">
        <f t="shared" si="3"/>
        <v>6</v>
      </c>
    </row>
    <row r="37" spans="2:13">
      <c r="B37" s="144" t="s">
        <v>1171</v>
      </c>
      <c r="C37" s="39" t="s">
        <v>1172</v>
      </c>
      <c r="D37" s="168">
        <v>0</v>
      </c>
      <c r="E37" s="168">
        <v>0</v>
      </c>
      <c r="F37" s="141">
        <f t="shared" si="0"/>
        <v>0</v>
      </c>
      <c r="G37" s="76"/>
      <c r="H37" s="146" t="s">
        <v>1341</v>
      </c>
      <c r="K37" s="132" t="str">
        <f t="shared" si="1"/>
        <v>tXPDLL</v>
      </c>
      <c r="L37" s="165">
        <f t="shared" si="2"/>
        <v>0</v>
      </c>
      <c r="M37" s="165">
        <f t="shared" si="3"/>
        <v>0</v>
      </c>
    </row>
    <row r="38" spans="2:13">
      <c r="B38" s="144" t="str">
        <f>IF(OR(Memory_Type="DDR4",Memory_Type="DDR3L"),"tXS","tXSR")</f>
        <v>tXS</v>
      </c>
      <c r="C38" s="39" t="s">
        <v>64</v>
      </c>
      <c r="D38" s="168">
        <v>0</v>
      </c>
      <c r="E38" s="145">
        <f>IF(Memory_Type="LPDDR4",tRFC+7.5,tRFC+10)</f>
        <v>360</v>
      </c>
      <c r="F38" s="141">
        <f t="shared" si="0"/>
        <v>360</v>
      </c>
      <c r="G38" s="76">
        <f>IF(OR('Step1-System Details'!$E$14="DDR3",'Step1-System Details'!$E$14="DDR4"),IF('Step1-System Details'!$E$25=2133,D257,IF('Step1-System Details'!$E$25=1866,E257,IF('Step1-System Details'!$E$25=1600,F257,IF('Step1-System Details'!$E$25=1333,G257,IF('Step1-System Details'!$E$25=1066,H257,IF('Step1-System Details'!$E$25=800,I257,"")))))),IF('Step1-System Details'!$E$25=1066,J259,IF('Step1-System Details'!$E$25=933,K259,IF('Step1-System Details'!$E$25=800,L259,IF('Step1-System Details'!$E$25=667,M259,IF('Step1-System Details'!$E$25=533,N259,""))))))</f>
        <v>180</v>
      </c>
      <c r="H38" s="143"/>
      <c r="K38" s="132" t="str">
        <f t="shared" si="1"/>
        <v>tXS</v>
      </c>
      <c r="L38" s="165">
        <f t="shared" si="2"/>
        <v>0</v>
      </c>
      <c r="M38" s="163" t="s">
        <v>1438</v>
      </c>
    </row>
    <row r="39" spans="2:13">
      <c r="B39" s="144" t="s">
        <v>1500</v>
      </c>
      <c r="C39" s="39" t="s">
        <v>66</v>
      </c>
      <c r="D39" s="145">
        <f>DLLK</f>
        <v>768</v>
      </c>
      <c r="E39" s="168">
        <v>0</v>
      </c>
      <c r="F39" s="141">
        <f t="shared" si="0"/>
        <v>1152</v>
      </c>
      <c r="G39" s="76">
        <f>IF(OR('Step1-System Details'!$E$14="DDR3",'Step1-System Details'!$E$14="DDR4"),IF('Step1-System Details'!$E$25=2133,D258,IF('Step1-System Details'!$E$25=1866,E258,IF('Step1-System Details'!$E$25=1600,F258,IF('Step1-System Details'!$E$25=1333,G258,IF('Step1-System Details'!$E$25=1066,H258,IF('Step1-System Details'!$E$25=800,I258,"")))))),IF('Step1-System Details'!$E$25=1066,J260,IF('Step1-System Details'!$E$25=933,K260,IF('Step1-System Details'!$E$25=800,L260,IF('Step1-System Details'!$E$25=667,M260,IF('Step1-System Details'!$E$25=533,N260,""))))))</f>
        <v>512</v>
      </c>
      <c r="H39" s="143" t="s">
        <v>1439</v>
      </c>
      <c r="K39" s="132" t="str">
        <f t="shared" si="1"/>
        <v>tXSDLL</v>
      </c>
      <c r="L39" s="163" t="s">
        <v>1438</v>
      </c>
      <c r="M39" s="165">
        <f t="shared" si="3"/>
        <v>0</v>
      </c>
    </row>
    <row r="40" spans="2:13">
      <c r="B40" s="144" t="s">
        <v>11</v>
      </c>
      <c r="C40" s="39" t="s">
        <v>67</v>
      </c>
      <c r="D40" s="168">
        <v>4</v>
      </c>
      <c r="E40" s="168">
        <v>7.5</v>
      </c>
      <c r="F40" s="141">
        <f>MAX(D40*$A$246,E40)</f>
        <v>7.5</v>
      </c>
      <c r="G40" s="76">
        <f>IF(OR('Step1-System Details'!$E$14="DDR3",'Step1-System Details'!$E$14="DDR4"),IF('Step1-System Details'!$E$25=2133,D259,IF('Step1-System Details'!$E$25=1866,E259,IF('Step1-System Details'!$E$25=1600,F259,IF('Step1-System Details'!$E$25=1333,G259,IF('Step1-System Details'!$E$25=1066,H259,IF('Step1-System Details'!$E$25=800,I259,"")))))),IF('Step1-System Details'!$E$25=1066,J261,IF('Step1-System Details'!$E$25=933,K261,IF('Step1-System Details'!$E$25=800,L261,IF('Step1-System Details'!$E$25=667,M261,IF('Step1-System Details'!$E$25=533,N261,""))))))</f>
        <v>5</v>
      </c>
      <c r="H40" s="143"/>
      <c r="K40" s="132" t="str">
        <f t="shared" si="1"/>
        <v>tRTP</v>
      </c>
      <c r="L40" s="165">
        <f t="shared" si="2"/>
        <v>4</v>
      </c>
      <c r="M40" s="165">
        <f t="shared" si="3"/>
        <v>7.5</v>
      </c>
    </row>
    <row r="41" spans="2:13">
      <c r="B41" s="144" t="s">
        <v>12</v>
      </c>
      <c r="C41" s="39" t="s">
        <v>68</v>
      </c>
      <c r="D41" s="168">
        <v>3</v>
      </c>
      <c r="E41" s="168">
        <v>5</v>
      </c>
      <c r="F41" s="141">
        <f>MAX(D41*$A$246,E41)</f>
        <v>5</v>
      </c>
      <c r="G41" s="76">
        <f>IF(OR('Step1-System Details'!$E$14="DDR3",'Step1-System Details'!$E$14="DDR4"),IF('Step1-System Details'!$E$25=2133,D260,IF('Step1-System Details'!$E$25=1866,E260,IF('Step1-System Details'!$E$25=1600,F260,IF('Step1-System Details'!$E$25=1333,G260,IF('Step1-System Details'!$E$25=1066,H260,IF('Step1-System Details'!$E$25=800,I260,"")))))),IF('Step1-System Details'!$E$25=1066,J262,IF('Step1-System Details'!$E$25=933,K262,IF('Step1-System Details'!$E$25=800,L262,IF('Step1-System Details'!$E$25=667,M262,IF('Step1-System Details'!$E$25=533,N262,""))))))</f>
        <v>4</v>
      </c>
      <c r="H41" s="143"/>
      <c r="K41" s="132" t="str">
        <f t="shared" si="1"/>
        <v>tCKE</v>
      </c>
      <c r="L41" s="165">
        <f t="shared" si="2"/>
        <v>3</v>
      </c>
      <c r="M41" s="165">
        <f t="shared" si="3"/>
        <v>5</v>
      </c>
    </row>
    <row r="42" spans="2:13">
      <c r="B42" s="144" t="s">
        <v>69</v>
      </c>
      <c r="C42" s="39" t="s">
        <v>70</v>
      </c>
      <c r="D42" s="169">
        <v>0</v>
      </c>
      <c r="E42" s="147">
        <f>IF(Memory_Type="LPDDR4",MAX(tCKE,tSR),tCKE+tCK)</f>
        <v>6.5</v>
      </c>
      <c r="F42" s="148">
        <f>E42</f>
        <v>6.5</v>
      </c>
      <c r="G42" s="76">
        <f>IF(OR('Step1-System Details'!$E$14="DDR3",'Step1-System Details'!$E$14="DDR4"),IF('Step1-System Details'!$E$25=2133,D263,IF('Step1-System Details'!$E$25=1866,E263,IF('Step1-System Details'!$E$25=1600,F263,IF('Step1-System Details'!$E$25=1333,G263,IF('Step1-System Details'!$E$25=1066,H263,IF('Step1-System Details'!$E$25=800,I263,"")))))),IF('Step1-System Details'!$E$25=1066,J265,IF('Step1-System Details'!$E$25=933,K265,IF('Step1-System Details'!$E$25=800,L265,IF('Step1-System Details'!$E$25=667,M265,IF('Step1-System Details'!$E$25=533,N265,""))))))</f>
        <v>5</v>
      </c>
      <c r="H42" s="146" t="s">
        <v>1439</v>
      </c>
      <c r="K42" s="132" t="str">
        <f t="shared" si="1"/>
        <v>tCKESR</v>
      </c>
      <c r="L42" s="165">
        <f t="shared" si="2"/>
        <v>0</v>
      </c>
      <c r="M42" s="163" t="s">
        <v>1438</v>
      </c>
    </row>
    <row r="43" spans="2:13">
      <c r="B43" s="144" t="s">
        <v>13</v>
      </c>
      <c r="C43" s="39" t="s">
        <v>71</v>
      </c>
      <c r="D43" s="168">
        <v>128</v>
      </c>
      <c r="E43" s="168">
        <v>0</v>
      </c>
      <c r="F43" s="141">
        <f t="shared" ref="F43:F48" si="4">MAX(D43*$A$246,E43)</f>
        <v>192</v>
      </c>
      <c r="G43" s="76">
        <f>IF(OR('Step1-System Details'!$E$14="DDR3",'Step1-System Details'!$E$14="DDR4"),IF('Step1-System Details'!$E$25=2133,D264,IF('Step1-System Details'!$E$25=1866,E264,IF('Step1-System Details'!$E$25=1600,F264,IF('Step1-System Details'!$E$25=1333,G264,IF('Step1-System Details'!$E$25=1066,H264,IF('Step1-System Details'!$E$25=800,I264,"")))))),IF('Step1-System Details'!$E$25=1066,J266,IF('Step1-System Details'!$E$25=933,K266,IF('Step1-System Details'!$E$25=800,L266,IF('Step1-System Details'!$E$25=667,M266,IF('Step1-System Details'!$E$25=533,N266,""))))))</f>
        <v>64</v>
      </c>
      <c r="H43" s="143" t="s">
        <v>1439</v>
      </c>
      <c r="K43" s="132" t="str">
        <f t="shared" si="1"/>
        <v>tZQCS</v>
      </c>
      <c r="L43" s="165">
        <f t="shared" si="2"/>
        <v>128</v>
      </c>
      <c r="M43" s="165">
        <f t="shared" si="3"/>
        <v>0</v>
      </c>
    </row>
    <row r="44" spans="2:13">
      <c r="B44" s="144" t="s">
        <v>563</v>
      </c>
      <c r="C44" s="39" t="s">
        <v>564</v>
      </c>
      <c r="D44" s="168">
        <v>512</v>
      </c>
      <c r="E44" s="168">
        <v>0</v>
      </c>
      <c r="F44" s="141">
        <f t="shared" si="4"/>
        <v>768</v>
      </c>
      <c r="G44" s="76"/>
      <c r="H44" s="143" t="s">
        <v>1439</v>
      </c>
      <c r="K44" s="132" t="str">
        <f t="shared" si="1"/>
        <v>tZQoper</v>
      </c>
      <c r="L44" s="165">
        <f t="shared" si="2"/>
        <v>512</v>
      </c>
      <c r="M44" s="165">
        <f t="shared" si="3"/>
        <v>0</v>
      </c>
    </row>
    <row r="45" spans="2:13" ht="13.5" thickBot="1">
      <c r="B45" s="144" t="s">
        <v>1174</v>
      </c>
      <c r="C45" s="149" t="s">
        <v>968</v>
      </c>
      <c r="D45" s="169">
        <v>1024</v>
      </c>
      <c r="E45" s="169">
        <v>0</v>
      </c>
      <c r="F45" s="141">
        <f t="shared" si="4"/>
        <v>1536</v>
      </c>
      <c r="G45" s="150"/>
      <c r="H45" s="143" t="s">
        <v>1439</v>
      </c>
      <c r="K45" s="132" t="str">
        <f t="shared" si="1"/>
        <v>tZQinit</v>
      </c>
      <c r="L45" s="165">
        <f t="shared" si="2"/>
        <v>1024</v>
      </c>
      <c r="M45" s="165">
        <f t="shared" si="3"/>
        <v>0</v>
      </c>
    </row>
    <row r="46" spans="2:13">
      <c r="B46" s="151" t="str">
        <f>IF(Memory_Type="DDR4","tRFC1","tRFC")</f>
        <v>tRFC1</v>
      </c>
      <c r="C46" s="152" t="s">
        <v>72</v>
      </c>
      <c r="D46" s="170">
        <v>0</v>
      </c>
      <c r="E46" s="170">
        <v>350</v>
      </c>
      <c r="F46" s="153">
        <f t="shared" si="4"/>
        <v>350</v>
      </c>
      <c r="G46" s="76">
        <f>IF(OR('Step1-System Details'!$E$14="DDR3",'Step1-System Details'!$E$14="DDR4"),IF('Step1-System Details'!$E$25=2133,D266,IF('Step1-System Details'!$E$25=1866,E266,IF('Step1-System Details'!$E$25=1600,F266,IF('Step1-System Details'!$E$25=1333,G266,IF('Step1-System Details'!$E$25=1066,H266,IF('Step1-System Details'!$E$25=800,I266,"")))))),IF('Step1-System Details'!$E$25=1066,J268,IF('Step1-System Details'!$E$25=933,K268,IF('Step1-System Details'!$E$25=800,L268,IF('Step1-System Details'!$E$25=667,M268,IF('Step1-System Details'!$E$25=533,N268,""))))))</f>
        <v>174</v>
      </c>
      <c r="H46" s="143"/>
      <c r="K46" s="132" t="str">
        <f t="shared" si="1"/>
        <v>tRFC1</v>
      </c>
      <c r="L46" s="165">
        <f t="shared" si="2"/>
        <v>0</v>
      </c>
      <c r="M46" s="165">
        <f t="shared" si="3"/>
        <v>350</v>
      </c>
    </row>
    <row r="47" spans="2:13">
      <c r="B47" s="144" t="s">
        <v>1433</v>
      </c>
      <c r="C47" s="39" t="s">
        <v>74</v>
      </c>
      <c r="D47" s="168">
        <v>0</v>
      </c>
      <c r="E47" s="145">
        <f>9*F48</f>
        <v>70200</v>
      </c>
      <c r="F47" s="141">
        <f t="shared" si="4"/>
        <v>70200</v>
      </c>
      <c r="G47" s="76" t="e">
        <f>IF(OR('Step1-System Details'!$E$14="DDR3",'Step1-System Details'!$E$14="DDR4"),IF('Step1-System Details'!$E$25=2133,D267,IF('Step1-System Details'!$E$25=1866,E267,IF('Step1-System Details'!$E$25=1600,F267,IF('Step1-System Details'!$E$25=1333,G267,IF('Step1-System Details'!$E$25=1066,H267,IF('Step1-System Details'!$E$25=800,I267,"")))))),IF('Step1-System Details'!$E$25=1066,J269,IF('Step1-System Details'!$E$25=933,K269,IF('Step1-System Details'!$E$25=800,L269,IF('Step1-System Details'!$E$25=667,M269,IF('Step1-System Details'!$E$25=533,N269,""))))))</f>
        <v>#REF!</v>
      </c>
      <c r="H47" s="143"/>
      <c r="K47" s="132" t="str">
        <f t="shared" si="1"/>
        <v>tRAS(max)</v>
      </c>
      <c r="L47" s="165">
        <f t="shared" si="2"/>
        <v>0</v>
      </c>
      <c r="M47" s="163" t="s">
        <v>1438</v>
      </c>
    </row>
    <row r="48" spans="2:13">
      <c r="B48" s="144" t="s">
        <v>15</v>
      </c>
      <c r="C48" s="39" t="s">
        <v>75</v>
      </c>
      <c r="D48" s="169">
        <v>0</v>
      </c>
      <c r="E48" s="169">
        <v>7800</v>
      </c>
      <c r="F48" s="141">
        <f t="shared" si="4"/>
        <v>7800</v>
      </c>
      <c r="G48" s="76" t="e">
        <f>IF(OR('Step1-System Details'!$E$14="DDR3",'Step1-System Details'!$E$14="DDR4"),IF('Step1-System Details'!$E$25=2133,D268,IF('Step1-System Details'!$E$25=1866,E268,IF('Step1-System Details'!$E$25=1600,F268,IF('Step1-System Details'!$E$25=1333,G268,IF('Step1-System Details'!$E$25=1066,H268,IF('Step1-System Details'!$E$25=800,I268,"")))))),IF('Step1-System Details'!$E$25=1066,J270,IF('Step1-System Details'!$E$25=933,K270,IF('Step1-System Details'!$E$25=800,L270,IF('Step1-System Details'!$E$25=667,M270,IF('Step1-System Details'!$E$25=533,N270,""))))))</f>
        <v>#REF!</v>
      </c>
      <c r="H48" s="143"/>
      <c r="K48" s="132" t="str">
        <f t="shared" si="1"/>
        <v>tREFI</v>
      </c>
      <c r="L48" s="165">
        <f t="shared" si="2"/>
        <v>0</v>
      </c>
      <c r="M48" s="165">
        <f t="shared" si="3"/>
        <v>7800</v>
      </c>
    </row>
    <row r="49" spans="2:13">
      <c r="B49" s="154" t="s">
        <v>204</v>
      </c>
      <c r="C49" s="149" t="s">
        <v>943</v>
      </c>
      <c r="D49" s="169">
        <v>8</v>
      </c>
      <c r="E49" s="169">
        <v>0</v>
      </c>
      <c r="F49" s="141">
        <f>D49*$A$246</f>
        <v>12</v>
      </c>
      <c r="G49" s="155"/>
      <c r="H49" s="143"/>
      <c r="K49" s="132" t="str">
        <f t="shared" si="1"/>
        <v>tMRD</v>
      </c>
      <c r="L49" s="165">
        <f t="shared" si="2"/>
        <v>8</v>
      </c>
      <c r="M49" s="165">
        <f t="shared" si="3"/>
        <v>0</v>
      </c>
    </row>
    <row r="50" spans="2:13">
      <c r="B50" s="154" t="s">
        <v>205</v>
      </c>
      <c r="C50" s="149" t="s">
        <v>944</v>
      </c>
      <c r="D50" s="169">
        <v>24</v>
      </c>
      <c r="E50" s="169">
        <v>15</v>
      </c>
      <c r="F50" s="141">
        <f t="shared" ref="F50:F71" si="5">MAX(D50*$A$246,E50)</f>
        <v>36</v>
      </c>
      <c r="G50" s="155"/>
      <c r="H50" s="143" t="s">
        <v>1439</v>
      </c>
      <c r="K50" s="132" t="str">
        <f t="shared" si="1"/>
        <v>tMOD</v>
      </c>
      <c r="L50" s="165">
        <f t="shared" si="2"/>
        <v>24</v>
      </c>
      <c r="M50" s="165">
        <f t="shared" si="3"/>
        <v>15</v>
      </c>
    </row>
    <row r="51" spans="2:13">
      <c r="B51" s="154" t="s">
        <v>206</v>
      </c>
      <c r="C51" s="149" t="s">
        <v>945</v>
      </c>
      <c r="D51" s="169">
        <v>40</v>
      </c>
      <c r="E51" s="169">
        <v>0</v>
      </c>
      <c r="F51" s="141">
        <f t="shared" si="5"/>
        <v>60</v>
      </c>
      <c r="G51" s="155"/>
      <c r="H51" s="143"/>
      <c r="K51" s="132" t="str">
        <f t="shared" si="1"/>
        <v>tWLMRD</v>
      </c>
      <c r="L51" s="165">
        <f t="shared" si="2"/>
        <v>40</v>
      </c>
      <c r="M51" s="165">
        <f t="shared" si="3"/>
        <v>0</v>
      </c>
    </row>
    <row r="52" spans="2:13">
      <c r="B52" s="154" t="s">
        <v>223</v>
      </c>
      <c r="C52" s="149" t="s">
        <v>946</v>
      </c>
      <c r="D52" s="169">
        <v>768</v>
      </c>
      <c r="E52" s="169">
        <v>0</v>
      </c>
      <c r="F52" s="141">
        <f t="shared" si="5"/>
        <v>1152</v>
      </c>
      <c r="G52" s="155"/>
      <c r="H52" s="143" t="s">
        <v>1439</v>
      </c>
      <c r="K52" s="132" t="str">
        <f t="shared" si="1"/>
        <v>tDLLK</v>
      </c>
      <c r="L52" s="165">
        <f t="shared" si="2"/>
        <v>768</v>
      </c>
      <c r="M52" s="165">
        <f t="shared" si="3"/>
        <v>0</v>
      </c>
    </row>
    <row r="53" spans="2:13">
      <c r="B53" s="154" t="str">
        <f>IF(Memory_Type="LPDDR4","tODTon_tODToff(max)",IF(Memory_Type="DDR4","DODTLon_DODTLoff","tAOND"))</f>
        <v>DODTLon_DODTLoff</v>
      </c>
      <c r="C53" s="149" t="s">
        <v>1432</v>
      </c>
      <c r="D53" s="192">
        <f>IF(Memory_Type="LPDDR4",0,WL-2)</f>
        <v>7</v>
      </c>
      <c r="E53" s="168">
        <v>0</v>
      </c>
      <c r="F53" s="141">
        <f t="shared" si="5"/>
        <v>10.5</v>
      </c>
      <c r="G53" s="155"/>
      <c r="H53" s="143"/>
      <c r="K53" s="132" t="str">
        <f t="shared" si="1"/>
        <v>DODTLon_DODTLoff</v>
      </c>
      <c r="L53" s="163" t="s">
        <v>1438</v>
      </c>
      <c r="M53" s="165">
        <f t="shared" si="3"/>
        <v>0</v>
      </c>
    </row>
    <row r="54" spans="2:13">
      <c r="B54" s="154" t="s">
        <v>247</v>
      </c>
      <c r="C54" s="149" t="s">
        <v>947</v>
      </c>
      <c r="D54" s="168">
        <v>5</v>
      </c>
      <c r="E54" s="192">
        <f>tRFC+10</f>
        <v>360</v>
      </c>
      <c r="F54" s="141">
        <f t="shared" si="5"/>
        <v>360</v>
      </c>
      <c r="G54" s="155"/>
      <c r="H54" s="143" t="s">
        <v>1439</v>
      </c>
      <c r="K54" s="132" t="str">
        <f t="shared" si="1"/>
        <v>tXPR</v>
      </c>
      <c r="L54" s="165">
        <f t="shared" si="2"/>
        <v>5</v>
      </c>
      <c r="M54" s="163" t="s">
        <v>1438</v>
      </c>
    </row>
    <row r="55" spans="2:13">
      <c r="B55" s="144" t="s">
        <v>717</v>
      </c>
      <c r="C55" s="149" t="s">
        <v>964</v>
      </c>
      <c r="D55" s="169">
        <v>0</v>
      </c>
      <c r="E55" s="169">
        <v>9.5</v>
      </c>
      <c r="F55" s="141">
        <f t="shared" si="5"/>
        <v>9.5</v>
      </c>
      <c r="G55" s="155"/>
      <c r="H55" s="143"/>
      <c r="K55" s="132" t="str">
        <f t="shared" si="1"/>
        <v>tWLO(max)</v>
      </c>
      <c r="L55" s="165">
        <f t="shared" si="2"/>
        <v>0</v>
      </c>
      <c r="M55" s="165">
        <f t="shared" si="3"/>
        <v>9.5</v>
      </c>
    </row>
    <row r="56" spans="2:13">
      <c r="B56" s="144" t="str">
        <f>IF(Memory_Type="DDR4","tCCD_L","tCCD")</f>
        <v>tCCD_L</v>
      </c>
      <c r="C56" s="149" t="s">
        <v>951</v>
      </c>
      <c r="D56" s="169">
        <v>4</v>
      </c>
      <c r="E56" s="169">
        <v>5</v>
      </c>
      <c r="F56" s="141">
        <f t="shared" si="5"/>
        <v>6</v>
      </c>
      <c r="G56" s="155"/>
      <c r="H56" s="146"/>
      <c r="K56" s="132" t="str">
        <f t="shared" si="1"/>
        <v>tCCD_L</v>
      </c>
      <c r="L56" s="165">
        <f t="shared" si="2"/>
        <v>4</v>
      </c>
      <c r="M56" s="165">
        <f t="shared" si="3"/>
        <v>5</v>
      </c>
    </row>
    <row r="57" spans="2:13">
      <c r="B57" s="144" t="s">
        <v>442</v>
      </c>
      <c r="C57" s="149" t="s">
        <v>962</v>
      </c>
      <c r="D57" s="168">
        <v>4</v>
      </c>
      <c r="E57" s="168">
        <v>0</v>
      </c>
      <c r="F57" s="141">
        <f t="shared" si="5"/>
        <v>6</v>
      </c>
      <c r="G57" s="155"/>
      <c r="H57" s="143" t="s">
        <v>1342</v>
      </c>
      <c r="K57" s="132" t="str">
        <f t="shared" si="1"/>
        <v>tCPDED</v>
      </c>
      <c r="L57" s="165">
        <f t="shared" si="2"/>
        <v>4</v>
      </c>
      <c r="M57" s="165">
        <f t="shared" si="3"/>
        <v>0</v>
      </c>
    </row>
    <row r="58" spans="2:13">
      <c r="B58" s="144" t="s">
        <v>418</v>
      </c>
      <c r="C58" s="149" t="s">
        <v>952</v>
      </c>
      <c r="D58" s="169">
        <v>5</v>
      </c>
      <c r="E58" s="169">
        <v>10</v>
      </c>
      <c r="F58" s="141">
        <f t="shared" si="5"/>
        <v>10</v>
      </c>
      <c r="G58" s="155"/>
      <c r="H58" s="143" t="s">
        <v>1342</v>
      </c>
      <c r="K58" s="132" t="str">
        <f t="shared" si="1"/>
        <v>tCKSRX</v>
      </c>
      <c r="L58" s="165">
        <f t="shared" si="2"/>
        <v>5</v>
      </c>
      <c r="M58" s="165">
        <f t="shared" si="3"/>
        <v>10</v>
      </c>
    </row>
    <row r="59" spans="2:13">
      <c r="B59" s="144" t="s">
        <v>419</v>
      </c>
      <c r="C59" s="149" t="s">
        <v>953</v>
      </c>
      <c r="D59" s="169">
        <v>5</v>
      </c>
      <c r="E59" s="169">
        <v>10</v>
      </c>
      <c r="F59" s="141">
        <f t="shared" si="5"/>
        <v>10</v>
      </c>
      <c r="G59" s="155"/>
      <c r="H59" s="143" t="s">
        <v>1342</v>
      </c>
      <c r="K59" s="132" t="str">
        <f t="shared" si="1"/>
        <v>tCKSRE</v>
      </c>
      <c r="L59" s="165">
        <f t="shared" si="2"/>
        <v>5</v>
      </c>
      <c r="M59" s="165">
        <f t="shared" si="3"/>
        <v>10</v>
      </c>
    </row>
    <row r="60" spans="2:13">
      <c r="B60" s="144" t="s">
        <v>545</v>
      </c>
      <c r="C60" s="39" t="s">
        <v>547</v>
      </c>
      <c r="D60" s="168">
        <v>0</v>
      </c>
      <c r="E60" s="168">
        <v>260</v>
      </c>
      <c r="F60" s="141">
        <f t="shared" si="5"/>
        <v>260</v>
      </c>
      <c r="G60" s="76"/>
      <c r="H60" s="146" t="s">
        <v>1342</v>
      </c>
      <c r="K60" s="132" t="str">
        <f t="shared" si="1"/>
        <v>tRFC2</v>
      </c>
      <c r="L60" s="165">
        <f t="shared" si="2"/>
        <v>0</v>
      </c>
      <c r="M60" s="165">
        <f t="shared" si="3"/>
        <v>260</v>
      </c>
    </row>
    <row r="61" spans="2:13">
      <c r="B61" s="144" t="s">
        <v>546</v>
      </c>
      <c r="C61" s="39" t="s">
        <v>548</v>
      </c>
      <c r="D61" s="168">
        <v>0</v>
      </c>
      <c r="E61" s="168">
        <v>160</v>
      </c>
      <c r="F61" s="141">
        <f t="shared" si="5"/>
        <v>160</v>
      </c>
      <c r="G61" s="76"/>
      <c r="H61" s="146" t="s">
        <v>1342</v>
      </c>
      <c r="K61" s="132" t="str">
        <f t="shared" si="1"/>
        <v>tRFC4</v>
      </c>
      <c r="L61" s="165">
        <f t="shared" si="2"/>
        <v>0</v>
      </c>
      <c r="M61" s="165">
        <f t="shared" si="3"/>
        <v>160</v>
      </c>
    </row>
    <row r="62" spans="2:13">
      <c r="B62" s="154" t="s">
        <v>310</v>
      </c>
      <c r="C62" s="149" t="s">
        <v>948</v>
      </c>
      <c r="D62" s="169">
        <v>5</v>
      </c>
      <c r="E62" s="169">
        <v>0</v>
      </c>
      <c r="F62" s="141">
        <f t="shared" si="5"/>
        <v>7.5</v>
      </c>
      <c r="G62" s="155"/>
      <c r="H62" s="143" t="s">
        <v>1342</v>
      </c>
      <c r="K62" s="132" t="str">
        <f t="shared" si="1"/>
        <v>tCAL</v>
      </c>
      <c r="L62" s="165">
        <f t="shared" si="2"/>
        <v>5</v>
      </c>
      <c r="M62" s="165">
        <f t="shared" si="3"/>
        <v>0</v>
      </c>
    </row>
    <row r="63" spans="2:13">
      <c r="B63" s="144" t="s">
        <v>1507</v>
      </c>
      <c r="C63" s="149" t="s">
        <v>1503</v>
      </c>
      <c r="D63" s="169">
        <v>1</v>
      </c>
      <c r="E63" s="169">
        <v>0</v>
      </c>
      <c r="F63" s="141">
        <f t="shared" si="5"/>
        <v>1.5</v>
      </c>
      <c r="G63" s="155"/>
      <c r="H63" s="143" t="s">
        <v>1504</v>
      </c>
      <c r="K63" s="132" t="str">
        <f t="shared" si="1"/>
        <v>tWPRE</v>
      </c>
      <c r="L63" s="165">
        <f t="shared" si="2"/>
        <v>1</v>
      </c>
      <c r="M63" s="165">
        <f t="shared" si="3"/>
        <v>0</v>
      </c>
    </row>
    <row r="64" spans="2:13">
      <c r="B64" s="144" t="s">
        <v>1508</v>
      </c>
      <c r="C64" s="149" t="s">
        <v>1506</v>
      </c>
      <c r="D64" s="169">
        <v>1</v>
      </c>
      <c r="E64" s="169">
        <v>0</v>
      </c>
      <c r="F64" s="141">
        <f t="shared" si="5"/>
        <v>1.5</v>
      </c>
      <c r="G64" s="155"/>
      <c r="H64" s="143" t="s">
        <v>1505</v>
      </c>
      <c r="K64" s="132" t="str">
        <f t="shared" si="1"/>
        <v>tRPRE</v>
      </c>
      <c r="L64" s="165">
        <f t="shared" si="2"/>
        <v>1</v>
      </c>
      <c r="M64" s="165">
        <f t="shared" si="3"/>
        <v>0</v>
      </c>
    </row>
    <row r="65" spans="2:13">
      <c r="B65" s="144" t="s">
        <v>434</v>
      </c>
      <c r="C65" s="149" t="s">
        <v>950</v>
      </c>
      <c r="D65" s="169">
        <v>4</v>
      </c>
      <c r="E65" s="169">
        <v>0</v>
      </c>
      <c r="F65" s="141">
        <f t="shared" si="5"/>
        <v>6</v>
      </c>
      <c r="G65" s="155"/>
      <c r="H65" s="146" t="s">
        <v>1342</v>
      </c>
      <c r="K65" s="132" t="str">
        <f t="shared" si="1"/>
        <v>tCCD_S</v>
      </c>
      <c r="L65" s="165">
        <f t="shared" si="2"/>
        <v>4</v>
      </c>
      <c r="M65" s="165">
        <f t="shared" si="3"/>
        <v>0</v>
      </c>
    </row>
    <row r="66" spans="2:13">
      <c r="B66" s="144" t="s">
        <v>435</v>
      </c>
      <c r="C66" s="149" t="s">
        <v>955</v>
      </c>
      <c r="D66" s="169">
        <v>4</v>
      </c>
      <c r="E66" s="169">
        <v>3.3</v>
      </c>
      <c r="F66" s="141">
        <f t="shared" si="5"/>
        <v>6</v>
      </c>
      <c r="G66" s="155"/>
      <c r="H66" s="146" t="s">
        <v>1342</v>
      </c>
      <c r="K66" s="132" t="str">
        <f t="shared" si="1"/>
        <v>tRRD_S</v>
      </c>
      <c r="L66" s="165">
        <f t="shared" si="2"/>
        <v>4</v>
      </c>
      <c r="M66" s="165">
        <f t="shared" si="3"/>
        <v>3.3</v>
      </c>
    </row>
    <row r="67" spans="2:13">
      <c r="B67" s="144" t="s">
        <v>436</v>
      </c>
      <c r="C67" s="39" t="s">
        <v>956</v>
      </c>
      <c r="D67" s="169">
        <v>2</v>
      </c>
      <c r="E67" s="169">
        <v>2.5</v>
      </c>
      <c r="F67" s="141">
        <f t="shared" si="5"/>
        <v>3</v>
      </c>
      <c r="G67" s="155"/>
      <c r="H67" s="146" t="s">
        <v>1342</v>
      </c>
      <c r="K67" s="132" t="str">
        <f t="shared" si="1"/>
        <v>tWTR_S</v>
      </c>
      <c r="L67" s="165">
        <f t="shared" si="2"/>
        <v>2</v>
      </c>
      <c r="M67" s="165">
        <f t="shared" si="3"/>
        <v>2.5</v>
      </c>
    </row>
    <row r="68" spans="2:13">
      <c r="B68" s="144" t="s">
        <v>439</v>
      </c>
      <c r="C68" s="149" t="s">
        <v>959</v>
      </c>
      <c r="D68" s="169">
        <v>0</v>
      </c>
      <c r="E68" s="169">
        <v>12</v>
      </c>
      <c r="F68" s="141">
        <f t="shared" si="5"/>
        <v>12</v>
      </c>
      <c r="G68" s="155"/>
      <c r="H68" s="146" t="s">
        <v>1342</v>
      </c>
      <c r="K68" s="132" t="str">
        <f t="shared" si="1"/>
        <v>tMPX_LH</v>
      </c>
      <c r="L68" s="165">
        <f t="shared" si="2"/>
        <v>0</v>
      </c>
      <c r="M68" s="165">
        <f t="shared" si="3"/>
        <v>12</v>
      </c>
    </row>
    <row r="69" spans="2:13">
      <c r="B69" s="144" t="s">
        <v>440</v>
      </c>
      <c r="C69" s="149" t="s">
        <v>960</v>
      </c>
      <c r="D69" s="169">
        <v>0</v>
      </c>
      <c r="E69" s="169">
        <v>0.255</v>
      </c>
      <c r="F69" s="141">
        <f t="shared" si="5"/>
        <v>0.255</v>
      </c>
      <c r="G69" s="155"/>
      <c r="H69" s="146" t="s">
        <v>1342</v>
      </c>
      <c r="K69" s="132" t="str">
        <f t="shared" si="1"/>
        <v>tMPX_S</v>
      </c>
      <c r="L69" s="165">
        <f t="shared" si="2"/>
        <v>0</v>
      </c>
      <c r="M69" s="165">
        <f t="shared" si="3"/>
        <v>0.255</v>
      </c>
    </row>
    <row r="70" spans="2:13">
      <c r="B70" s="144" t="s">
        <v>432</v>
      </c>
      <c r="C70" s="149" t="s">
        <v>954</v>
      </c>
      <c r="D70" s="169">
        <v>0</v>
      </c>
      <c r="E70" s="145">
        <f>tRFC4+10</f>
        <v>170</v>
      </c>
      <c r="F70" s="141">
        <f t="shared" si="5"/>
        <v>170</v>
      </c>
      <c r="G70" s="155"/>
      <c r="H70" s="146" t="s">
        <v>1342</v>
      </c>
      <c r="K70" s="132" t="str">
        <f t="shared" si="1"/>
        <v>tXS_FAST</v>
      </c>
      <c r="L70" s="165">
        <f t="shared" si="2"/>
        <v>0</v>
      </c>
      <c r="M70" s="163" t="s">
        <v>1438</v>
      </c>
    </row>
    <row r="71" spans="2:13">
      <c r="B71" s="144" t="s">
        <v>433</v>
      </c>
      <c r="C71" s="149" t="s">
        <v>64</v>
      </c>
      <c r="D71" s="169">
        <v>0</v>
      </c>
      <c r="E71" s="145">
        <f>tRFC4+10</f>
        <v>170</v>
      </c>
      <c r="F71" s="141">
        <f t="shared" si="5"/>
        <v>170</v>
      </c>
      <c r="G71" s="155"/>
      <c r="H71" s="146" t="s">
        <v>1342</v>
      </c>
      <c r="K71" s="132" t="str">
        <f t="shared" si="1"/>
        <v>tXS_ABORT</v>
      </c>
      <c r="L71" s="165">
        <f t="shared" si="2"/>
        <v>0</v>
      </c>
      <c r="M71" s="163" t="s">
        <v>1438</v>
      </c>
    </row>
    <row r="72" spans="2:13">
      <c r="B72" s="144" t="s">
        <v>438</v>
      </c>
      <c r="C72" s="149" t="s">
        <v>958</v>
      </c>
      <c r="D72" s="192"/>
      <c r="E72" s="192"/>
      <c r="F72" s="141">
        <f>tXS</f>
        <v>360</v>
      </c>
      <c r="G72" s="155"/>
      <c r="H72" s="146" t="s">
        <v>1342</v>
      </c>
      <c r="K72" s="132" t="str">
        <f t="shared" si="1"/>
        <v>tXMP</v>
      </c>
      <c r="L72" s="163" t="s">
        <v>1438</v>
      </c>
      <c r="M72" s="163" t="s">
        <v>1438</v>
      </c>
    </row>
    <row r="73" spans="2:13">
      <c r="B73" s="144" t="s">
        <v>437</v>
      </c>
      <c r="C73" s="149" t="s">
        <v>957</v>
      </c>
      <c r="D73" s="192"/>
      <c r="E73" s="192"/>
      <c r="F73" s="141">
        <f>tXMP+tXSDLL</f>
        <v>1512</v>
      </c>
      <c r="G73" s="155"/>
      <c r="H73" s="146" t="s">
        <v>1342</v>
      </c>
      <c r="K73" s="132" t="str">
        <f t="shared" si="1"/>
        <v>tXMPDLL</v>
      </c>
      <c r="L73" s="163" t="s">
        <v>1438</v>
      </c>
      <c r="M73" s="163" t="s">
        <v>1438</v>
      </c>
    </row>
    <row r="74" spans="2:13">
      <c r="B74" s="144" t="s">
        <v>441</v>
      </c>
      <c r="C74" s="149" t="s">
        <v>961</v>
      </c>
      <c r="D74" s="192"/>
      <c r="E74" s="192"/>
      <c r="F74" s="141">
        <f>tMOD+tCPDED</f>
        <v>42</v>
      </c>
      <c r="G74" s="155"/>
      <c r="H74" s="146" t="s">
        <v>1342</v>
      </c>
      <c r="K74" s="132" t="str">
        <f t="shared" si="1"/>
        <v>tCKMPE</v>
      </c>
      <c r="L74" s="163" t="s">
        <v>1438</v>
      </c>
      <c r="M74" s="163" t="s">
        <v>1438</v>
      </c>
    </row>
    <row r="75" spans="2:13">
      <c r="B75" s="144" t="s">
        <v>443</v>
      </c>
      <c r="C75" s="149" t="s">
        <v>963</v>
      </c>
      <c r="D75" s="169">
        <v>16</v>
      </c>
      <c r="E75" s="169">
        <v>10</v>
      </c>
      <c r="F75" s="141">
        <f>MAX(D75*$A$246,E75)</f>
        <v>24</v>
      </c>
      <c r="G75" s="155"/>
      <c r="H75" s="146" t="s">
        <v>1342</v>
      </c>
      <c r="K75" s="132" t="str">
        <f t="shared" si="1"/>
        <v>tMRD_PDA</v>
      </c>
      <c r="L75" s="165">
        <f t="shared" si="2"/>
        <v>16</v>
      </c>
      <c r="M75" s="165">
        <f t="shared" si="3"/>
        <v>10</v>
      </c>
    </row>
    <row r="76" spans="2:13">
      <c r="B76" s="144" t="s">
        <v>362</v>
      </c>
      <c r="C76" s="149" t="s">
        <v>949</v>
      </c>
      <c r="D76" s="169">
        <v>0</v>
      </c>
      <c r="E76" s="367">
        <v>0</v>
      </c>
      <c r="F76" s="141">
        <f>IF(Memory_Type="DDR4",MAX(D76*$A$246,E76),0)</f>
        <v>0</v>
      </c>
      <c r="G76" s="155"/>
      <c r="H76" s="146" t="s">
        <v>1342</v>
      </c>
      <c r="K76" s="132" t="str">
        <f t="shared" si="1"/>
        <v>PL</v>
      </c>
      <c r="L76" s="165">
        <f t="shared" si="2"/>
        <v>0</v>
      </c>
      <c r="M76" s="165" t="s">
        <v>1438</v>
      </c>
    </row>
    <row r="77" spans="2:13">
      <c r="B77" s="144" t="s">
        <v>1437</v>
      </c>
      <c r="C77" s="149" t="s">
        <v>1436</v>
      </c>
      <c r="D77" s="169">
        <v>0</v>
      </c>
      <c r="E77" s="367">
        <v>0</v>
      </c>
      <c r="F77" s="141">
        <f t="shared" ref="F77:F103" si="6">MAX(D77*$A$246,E77)</f>
        <v>0</v>
      </c>
      <c r="G77" s="155"/>
      <c r="H77" s="146" t="s">
        <v>1439</v>
      </c>
      <c r="K77" s="132" t="str">
        <f t="shared" si="1"/>
        <v>AL</v>
      </c>
      <c r="L77" s="165">
        <f t="shared" si="2"/>
        <v>0</v>
      </c>
      <c r="M77" s="165" t="s">
        <v>1438</v>
      </c>
    </row>
    <row r="78" spans="2:13">
      <c r="B78" s="144" t="s">
        <v>1434</v>
      </c>
      <c r="C78" s="149" t="s">
        <v>965</v>
      </c>
      <c r="D78" s="169">
        <v>144</v>
      </c>
      <c r="E78" s="169">
        <v>0</v>
      </c>
      <c r="F78" s="141">
        <f t="shared" si="6"/>
        <v>216</v>
      </c>
      <c r="G78" s="155"/>
      <c r="H78" s="143" t="s">
        <v>1342</v>
      </c>
      <c r="K78" s="132" t="str">
        <f t="shared" si="1"/>
        <v>tPAR_ALERT_PW(max)</v>
      </c>
      <c r="L78" s="165">
        <f t="shared" si="2"/>
        <v>144</v>
      </c>
      <c r="M78" s="165">
        <f t="shared" si="3"/>
        <v>0</v>
      </c>
    </row>
    <row r="79" spans="2:13">
      <c r="B79" s="144" t="s">
        <v>1435</v>
      </c>
      <c r="C79" s="149" t="s">
        <v>966</v>
      </c>
      <c r="D79" s="169">
        <v>10</v>
      </c>
      <c r="E79" s="169">
        <v>0</v>
      </c>
      <c r="F79" s="141">
        <f t="shared" si="6"/>
        <v>15</v>
      </c>
      <c r="G79" s="155"/>
      <c r="H79" s="143" t="s">
        <v>1342</v>
      </c>
      <c r="K79" s="132" t="str">
        <f t="shared" si="1"/>
        <v>tCRC_ALERT_PW(max)</v>
      </c>
      <c r="L79" s="165">
        <f t="shared" si="2"/>
        <v>10</v>
      </c>
      <c r="M79" s="165">
        <f t="shared" si="3"/>
        <v>0</v>
      </c>
    </row>
    <row r="80" spans="2:13">
      <c r="B80" s="144" t="str">
        <f>(IF(Memory_Type="LPDDR4","PW_RESET","PW_RESET_L"))</f>
        <v>PW_RESET_L</v>
      </c>
      <c r="C80" s="149" t="s">
        <v>967</v>
      </c>
      <c r="D80" s="169">
        <v>0</v>
      </c>
      <c r="E80" s="169">
        <v>200000</v>
      </c>
      <c r="F80" s="141">
        <f t="shared" si="6"/>
        <v>200000</v>
      </c>
      <c r="G80" s="155"/>
      <c r="H80" s="143" t="s">
        <v>1044</v>
      </c>
      <c r="K80" s="132" t="str">
        <f t="shared" si="1"/>
        <v>PW_RESET_L</v>
      </c>
      <c r="L80" s="165">
        <f t="shared" si="2"/>
        <v>0</v>
      </c>
      <c r="M80" s="165">
        <f t="shared" si="3"/>
        <v>200000</v>
      </c>
    </row>
    <row r="81" spans="2:13">
      <c r="B81" s="159" t="s">
        <v>1241</v>
      </c>
      <c r="C81" s="160" t="s">
        <v>1321</v>
      </c>
      <c r="D81" s="169">
        <v>0</v>
      </c>
      <c r="E81" s="169">
        <v>1.5</v>
      </c>
      <c r="F81" s="161">
        <f t="shared" si="6"/>
        <v>1.5</v>
      </c>
      <c r="H81" s="143" t="s">
        <v>225</v>
      </c>
      <c r="K81" s="132" t="str">
        <f t="shared" si="1"/>
        <v>tDQSCKmin</v>
      </c>
      <c r="L81" s="165">
        <f t="shared" si="2"/>
        <v>0</v>
      </c>
      <c r="M81" s="165">
        <f t="shared" si="3"/>
        <v>1.5</v>
      </c>
    </row>
    <row r="82" spans="2:13">
      <c r="B82" s="156" t="s">
        <v>132</v>
      </c>
      <c r="C82" s="157" t="s">
        <v>1347</v>
      </c>
      <c r="D82" s="168">
        <v>0</v>
      </c>
      <c r="E82" s="168">
        <v>3.5</v>
      </c>
      <c r="F82" s="158">
        <f t="shared" si="6"/>
        <v>3.5</v>
      </c>
      <c r="G82" s="76">
        <f>IF(OR('Step1-System Details'!$E$14="DDR3",'Step1-System Details'!$E$14="DDR4"),IF('Step1-System Details'!$E$25=2133,D265,IF('Step1-System Details'!$E$25=1866,E265,IF('Step1-System Details'!$E$25=1600,F265,IF('Step1-System Details'!$E$25=1333,G265,IF('Step1-System Details'!$E$25=1066,H265,IF('Step1-System Details'!$E$25=800,I265,"")))))),IF('Step1-System Details'!$E$25=1066,J267,IF('Step1-System Details'!$E$25=933,K267,IF('Step1-System Details'!$E$25=800,L267,IF('Step1-System Details'!$E$25=667,M267,IF('Step1-System Details'!$E$25=533,N267,""))))))</f>
        <v>0</v>
      </c>
      <c r="H82" s="143" t="s">
        <v>225</v>
      </c>
      <c r="K82" s="132" t="str">
        <f t="shared" si="1"/>
        <v>tDQSCKmax</v>
      </c>
      <c r="L82" s="165">
        <f t="shared" si="2"/>
        <v>0</v>
      </c>
      <c r="M82" s="165">
        <f t="shared" si="3"/>
        <v>3.5</v>
      </c>
    </row>
    <row r="83" spans="2:13">
      <c r="B83" s="159" t="s">
        <v>1230</v>
      </c>
      <c r="C83" s="157" t="s">
        <v>1316</v>
      </c>
      <c r="D83" s="169">
        <v>20</v>
      </c>
      <c r="E83" s="169">
        <v>0</v>
      </c>
      <c r="F83" s="158">
        <f t="shared" si="6"/>
        <v>30</v>
      </c>
      <c r="H83" s="143" t="s">
        <v>225</v>
      </c>
      <c r="K83" s="132" t="str">
        <f t="shared" si="1"/>
        <v>tWLWPRE</v>
      </c>
      <c r="L83" s="165">
        <f t="shared" si="2"/>
        <v>20</v>
      </c>
      <c r="M83" s="165">
        <f t="shared" si="3"/>
        <v>0</v>
      </c>
    </row>
    <row r="84" spans="2:13">
      <c r="B84" s="159" t="s">
        <v>1235</v>
      </c>
      <c r="C84" s="160" t="s">
        <v>1317</v>
      </c>
      <c r="D84" s="169">
        <v>8</v>
      </c>
      <c r="E84" s="169">
        <v>30</v>
      </c>
      <c r="F84" s="161">
        <f t="shared" si="6"/>
        <v>30</v>
      </c>
      <c r="H84" s="143" t="s">
        <v>225</v>
      </c>
      <c r="K84" s="132" t="str">
        <f t="shared" si="1"/>
        <v>tZQLAT</v>
      </c>
      <c r="L84" s="165">
        <f t="shared" si="2"/>
        <v>8</v>
      </c>
      <c r="M84" s="165">
        <f t="shared" si="3"/>
        <v>30</v>
      </c>
    </row>
    <row r="85" spans="2:13">
      <c r="B85" s="159" t="s">
        <v>1236</v>
      </c>
      <c r="C85" s="160" t="s">
        <v>1318</v>
      </c>
      <c r="D85" s="169">
        <v>0</v>
      </c>
      <c r="E85" s="169">
        <v>200</v>
      </c>
      <c r="F85" s="161">
        <f t="shared" si="6"/>
        <v>200</v>
      </c>
      <c r="H85" s="143" t="s">
        <v>225</v>
      </c>
      <c r="K85" s="132" t="str">
        <f t="shared" si="1"/>
        <v>tVRCG_ENABLE</v>
      </c>
      <c r="L85" s="165">
        <f t="shared" si="2"/>
        <v>0</v>
      </c>
      <c r="M85" s="165">
        <f t="shared" si="3"/>
        <v>200</v>
      </c>
    </row>
    <row r="86" spans="2:13">
      <c r="B86" s="159" t="s">
        <v>1237</v>
      </c>
      <c r="C86" s="160" t="s">
        <v>1319</v>
      </c>
      <c r="D86" s="169">
        <v>0</v>
      </c>
      <c r="E86" s="169">
        <v>100</v>
      </c>
      <c r="F86" s="161">
        <f t="shared" si="6"/>
        <v>100</v>
      </c>
      <c r="H86" s="143" t="s">
        <v>225</v>
      </c>
      <c r="K86" s="132" t="str">
        <f t="shared" si="1"/>
        <v>tVRCG_DISABLE</v>
      </c>
      <c r="L86" s="165">
        <f t="shared" si="2"/>
        <v>0</v>
      </c>
      <c r="M86" s="165">
        <f t="shared" si="3"/>
        <v>100</v>
      </c>
    </row>
    <row r="87" spans="2:13">
      <c r="B87" s="159" t="s">
        <v>1238</v>
      </c>
      <c r="C87" s="160" t="s">
        <v>1320</v>
      </c>
      <c r="D87" s="169">
        <v>3</v>
      </c>
      <c r="E87" s="169">
        <v>1.75</v>
      </c>
      <c r="F87" s="161">
        <f t="shared" si="6"/>
        <v>4.5</v>
      </c>
      <c r="H87" s="143" t="s">
        <v>225</v>
      </c>
      <c r="K87" s="132" t="str">
        <f t="shared" si="1"/>
        <v>tCMDCKE</v>
      </c>
      <c r="L87" s="165">
        <f t="shared" si="2"/>
        <v>3</v>
      </c>
      <c r="M87" s="165">
        <f t="shared" si="3"/>
        <v>1.75</v>
      </c>
    </row>
    <row r="88" spans="2:13">
      <c r="B88" s="159" t="s">
        <v>1239</v>
      </c>
      <c r="C88" s="160" t="s">
        <v>1322</v>
      </c>
      <c r="D88" s="169">
        <v>0</v>
      </c>
      <c r="E88" s="169">
        <v>20</v>
      </c>
      <c r="F88" s="161">
        <f t="shared" si="6"/>
        <v>20</v>
      </c>
      <c r="H88" s="143" t="s">
        <v>225</v>
      </c>
      <c r="K88" s="132" t="str">
        <f t="shared" si="1"/>
        <v>tODTUP</v>
      </c>
      <c r="L88" s="165">
        <f t="shared" si="2"/>
        <v>0</v>
      </c>
      <c r="M88" s="165">
        <f t="shared" si="3"/>
        <v>20</v>
      </c>
    </row>
    <row r="89" spans="2:13">
      <c r="B89" s="159" t="s">
        <v>1300</v>
      </c>
      <c r="C89" s="157" t="s">
        <v>68</v>
      </c>
      <c r="D89" s="169">
        <v>0</v>
      </c>
      <c r="E89" s="169">
        <v>0</v>
      </c>
      <c r="F89" s="161">
        <f t="shared" si="6"/>
        <v>0</v>
      </c>
      <c r="H89" s="146" t="s">
        <v>1301</v>
      </c>
      <c r="K89" s="132" t="str">
        <f t="shared" si="1"/>
        <v>tCKELPD</v>
      </c>
      <c r="L89" s="165">
        <f t="shared" si="2"/>
        <v>0</v>
      </c>
      <c r="M89" s="165">
        <f t="shared" si="3"/>
        <v>0</v>
      </c>
    </row>
    <row r="90" spans="2:13">
      <c r="B90" s="156" t="s">
        <v>1324</v>
      </c>
      <c r="C90" s="160" t="s">
        <v>1325</v>
      </c>
      <c r="D90" s="169">
        <v>0.4</v>
      </c>
      <c r="E90" s="169">
        <v>0</v>
      </c>
      <c r="F90" s="161">
        <f t="shared" si="6"/>
        <v>0.60000000000000009</v>
      </c>
      <c r="H90" s="143" t="s">
        <v>225</v>
      </c>
      <c r="K90" s="132" t="str">
        <f t="shared" ref="K90:K104" si="7">B90</f>
        <v>tRPST</v>
      </c>
      <c r="L90" s="165">
        <f t="shared" ref="L90:L103" si="8">D90</f>
        <v>0.4</v>
      </c>
      <c r="M90" s="165">
        <f t="shared" ref="M90:M103" si="9">E90</f>
        <v>0</v>
      </c>
    </row>
    <row r="91" spans="2:13">
      <c r="B91" s="159" t="s">
        <v>1302</v>
      </c>
      <c r="C91" s="160" t="s">
        <v>1326</v>
      </c>
      <c r="D91" s="169">
        <v>10</v>
      </c>
      <c r="E91" s="169">
        <v>14</v>
      </c>
      <c r="F91" s="161">
        <f t="shared" si="6"/>
        <v>15</v>
      </c>
      <c r="H91" s="143" t="s">
        <v>225</v>
      </c>
      <c r="K91" s="132" t="str">
        <f t="shared" si="7"/>
        <v>tMRWCKEL</v>
      </c>
      <c r="L91" s="165">
        <f t="shared" si="8"/>
        <v>10</v>
      </c>
      <c r="M91" s="165">
        <f t="shared" si="9"/>
        <v>14</v>
      </c>
    </row>
    <row r="92" spans="2:13">
      <c r="B92" s="159" t="s">
        <v>1303</v>
      </c>
      <c r="C92" s="160" t="s">
        <v>1327</v>
      </c>
      <c r="D92" s="169">
        <v>10</v>
      </c>
      <c r="E92" s="169">
        <v>10</v>
      </c>
      <c r="F92" s="161">
        <f t="shared" si="6"/>
        <v>15</v>
      </c>
      <c r="H92" s="143" t="s">
        <v>225</v>
      </c>
      <c r="K92" s="132" t="str">
        <f t="shared" si="7"/>
        <v>tMRW</v>
      </c>
      <c r="L92" s="165">
        <f t="shared" si="8"/>
        <v>10</v>
      </c>
      <c r="M92" s="165">
        <f t="shared" si="9"/>
        <v>10</v>
      </c>
    </row>
    <row r="93" spans="2:13">
      <c r="B93" s="159" t="s">
        <v>1304</v>
      </c>
      <c r="C93" s="160" t="s">
        <v>1328</v>
      </c>
      <c r="D93" s="169">
        <v>3</v>
      </c>
      <c r="E93" s="169">
        <v>1.75</v>
      </c>
      <c r="F93" s="161">
        <f t="shared" si="6"/>
        <v>4.5</v>
      </c>
      <c r="H93" s="143" t="s">
        <v>225</v>
      </c>
      <c r="K93" s="132" t="str">
        <f t="shared" si="7"/>
        <v>tCKCKEH</v>
      </c>
      <c r="L93" s="165">
        <f t="shared" si="8"/>
        <v>3</v>
      </c>
      <c r="M93" s="165">
        <f t="shared" si="9"/>
        <v>1.75</v>
      </c>
    </row>
    <row r="94" spans="2:13">
      <c r="B94" s="159" t="s">
        <v>1305</v>
      </c>
      <c r="C94" s="160" t="s">
        <v>1329</v>
      </c>
      <c r="D94" s="169">
        <v>5</v>
      </c>
      <c r="E94" s="169">
        <v>5</v>
      </c>
      <c r="F94" s="161">
        <f t="shared" si="6"/>
        <v>7.5</v>
      </c>
      <c r="H94" s="143" t="s">
        <v>225</v>
      </c>
      <c r="K94" s="132" t="str">
        <f t="shared" si="7"/>
        <v>tCKELCK</v>
      </c>
      <c r="L94" s="165">
        <f t="shared" si="8"/>
        <v>5</v>
      </c>
      <c r="M94" s="165">
        <f t="shared" si="9"/>
        <v>5</v>
      </c>
    </row>
    <row r="95" spans="2:13">
      <c r="B95" s="159" t="s">
        <v>1306</v>
      </c>
      <c r="C95" s="160" t="s">
        <v>1330</v>
      </c>
      <c r="D95" s="169">
        <v>3</v>
      </c>
      <c r="E95" s="169">
        <v>15</v>
      </c>
      <c r="F95" s="161">
        <f t="shared" si="6"/>
        <v>15</v>
      </c>
      <c r="H95" s="143" t="s">
        <v>225</v>
      </c>
      <c r="K95" s="132" t="str">
        <f t="shared" si="7"/>
        <v>tSR</v>
      </c>
      <c r="L95" s="165">
        <f t="shared" si="8"/>
        <v>3</v>
      </c>
      <c r="M95" s="165">
        <f t="shared" si="9"/>
        <v>15</v>
      </c>
    </row>
    <row r="96" spans="2:13">
      <c r="B96" s="159" t="s">
        <v>1307</v>
      </c>
      <c r="C96" s="160" t="s">
        <v>1331</v>
      </c>
      <c r="D96" s="169">
        <v>3</v>
      </c>
      <c r="E96" s="169">
        <v>1.75</v>
      </c>
      <c r="F96" s="161">
        <f t="shared" si="6"/>
        <v>4.5</v>
      </c>
      <c r="H96" s="143" t="s">
        <v>225</v>
      </c>
      <c r="K96" s="132" t="str">
        <f t="shared" si="7"/>
        <v>tESCKE</v>
      </c>
      <c r="L96" s="165">
        <f t="shared" si="8"/>
        <v>3</v>
      </c>
      <c r="M96" s="165">
        <f t="shared" si="9"/>
        <v>1.75</v>
      </c>
    </row>
    <row r="97" spans="2:13">
      <c r="B97" s="159" t="s">
        <v>1337</v>
      </c>
      <c r="C97" s="160" t="s">
        <v>1338</v>
      </c>
      <c r="D97" s="169">
        <v>6</v>
      </c>
      <c r="E97" s="169">
        <v>0</v>
      </c>
      <c r="F97" s="161">
        <f t="shared" si="6"/>
        <v>9</v>
      </c>
      <c r="H97" s="143" t="s">
        <v>225</v>
      </c>
      <c r="K97" s="132" t="str">
        <f t="shared" si="7"/>
        <v>tODTLon</v>
      </c>
      <c r="L97" s="165">
        <f t="shared" si="8"/>
        <v>6</v>
      </c>
      <c r="M97" s="165">
        <f t="shared" si="9"/>
        <v>0</v>
      </c>
    </row>
    <row r="98" spans="2:13">
      <c r="B98" s="159" t="s">
        <v>1308</v>
      </c>
      <c r="C98" s="160" t="s">
        <v>1332</v>
      </c>
      <c r="D98" s="169">
        <v>22</v>
      </c>
      <c r="E98" s="169">
        <v>0</v>
      </c>
      <c r="F98" s="161">
        <f t="shared" si="6"/>
        <v>33</v>
      </c>
      <c r="H98" s="143" t="s">
        <v>225</v>
      </c>
      <c r="K98" s="132" t="str">
        <f t="shared" si="7"/>
        <v>tODTLoff</v>
      </c>
      <c r="L98" s="165">
        <f t="shared" si="8"/>
        <v>22</v>
      </c>
      <c r="M98" s="165">
        <f t="shared" si="9"/>
        <v>0</v>
      </c>
    </row>
    <row r="99" spans="2:13">
      <c r="B99" s="159" t="s">
        <v>1309</v>
      </c>
      <c r="C99" s="160" t="s">
        <v>1333</v>
      </c>
      <c r="D99" s="169">
        <v>32</v>
      </c>
      <c r="E99" s="169">
        <v>0</v>
      </c>
      <c r="F99" s="161">
        <f t="shared" si="6"/>
        <v>48</v>
      </c>
      <c r="H99" s="143" t="s">
        <v>225</v>
      </c>
      <c r="K99" s="132" t="str">
        <f t="shared" si="7"/>
        <v>tCCDMW</v>
      </c>
      <c r="L99" s="165">
        <f t="shared" si="8"/>
        <v>32</v>
      </c>
      <c r="M99" s="165">
        <f t="shared" si="9"/>
        <v>0</v>
      </c>
    </row>
    <row r="100" spans="2:13">
      <c r="B100" s="159" t="s">
        <v>1310</v>
      </c>
      <c r="C100" s="160" t="s">
        <v>1334</v>
      </c>
      <c r="D100" s="169">
        <v>4</v>
      </c>
      <c r="E100" s="169">
        <v>0</v>
      </c>
      <c r="F100" s="161">
        <f t="shared" si="6"/>
        <v>6</v>
      </c>
      <c r="H100" s="143" t="s">
        <v>225</v>
      </c>
      <c r="K100" s="132" t="str">
        <f t="shared" si="7"/>
        <v>tPPD</v>
      </c>
      <c r="L100" s="165">
        <f t="shared" si="8"/>
        <v>4</v>
      </c>
      <c r="M100" s="165">
        <f t="shared" si="9"/>
        <v>0</v>
      </c>
    </row>
    <row r="101" spans="2:13">
      <c r="B101" s="159" t="s">
        <v>1313</v>
      </c>
      <c r="C101" s="160" t="s">
        <v>1335</v>
      </c>
      <c r="D101" s="169">
        <v>0</v>
      </c>
      <c r="E101" s="169">
        <v>1000</v>
      </c>
      <c r="F101" s="161">
        <f t="shared" si="6"/>
        <v>1000</v>
      </c>
      <c r="H101" s="143" t="s">
        <v>225</v>
      </c>
      <c r="K101" s="132" t="str">
        <f t="shared" si="7"/>
        <v>tZQCAL</v>
      </c>
      <c r="L101" s="165">
        <f t="shared" si="8"/>
        <v>0</v>
      </c>
      <c r="M101" s="165">
        <f t="shared" si="9"/>
        <v>1000</v>
      </c>
    </row>
    <row r="102" spans="2:13">
      <c r="B102" s="159" t="s">
        <v>1314</v>
      </c>
      <c r="C102" s="160" t="s">
        <v>1336</v>
      </c>
      <c r="D102" s="169">
        <v>3</v>
      </c>
      <c r="E102" s="169">
        <v>50</v>
      </c>
      <c r="F102" s="161">
        <f t="shared" si="6"/>
        <v>50</v>
      </c>
      <c r="H102" s="143" t="s">
        <v>225</v>
      </c>
      <c r="K102" s="132" t="str">
        <f t="shared" si="7"/>
        <v>tZQReset</v>
      </c>
      <c r="L102" s="165">
        <f t="shared" si="8"/>
        <v>3</v>
      </c>
      <c r="M102" s="165">
        <f t="shared" si="9"/>
        <v>50</v>
      </c>
    </row>
    <row r="103" spans="2:13">
      <c r="B103" s="154" t="s">
        <v>1480</v>
      </c>
      <c r="C103" s="149" t="s">
        <v>1481</v>
      </c>
      <c r="D103" s="169">
        <v>0</v>
      </c>
      <c r="E103" s="168">
        <v>1.5</v>
      </c>
      <c r="F103" s="141">
        <f t="shared" si="6"/>
        <v>1.5</v>
      </c>
      <c r="G103" s="155"/>
      <c r="H103" s="146" t="s">
        <v>225</v>
      </c>
      <c r="K103" s="132" t="str">
        <f t="shared" si="7"/>
        <v>tODTon(min)</v>
      </c>
      <c r="L103" s="165">
        <f t="shared" si="8"/>
        <v>0</v>
      </c>
      <c r="M103" s="165">
        <f t="shared" si="9"/>
        <v>1.5</v>
      </c>
    </row>
    <row r="104" spans="2:13">
      <c r="B104" s="159" t="s">
        <v>1251</v>
      </c>
      <c r="C104" s="160" t="s">
        <v>1323</v>
      </c>
      <c r="D104" s="297"/>
      <c r="E104" s="297"/>
      <c r="F104" s="161">
        <f>IF(OR(Memory_Type="DDR4",Memory_Type="DDR3L"),8,16)</f>
        <v>8</v>
      </c>
      <c r="H104" s="143"/>
      <c r="K104" s="132" t="str">
        <f t="shared" si="7"/>
        <v>BL</v>
      </c>
      <c r="L104" s="163" t="s">
        <v>1438</v>
      </c>
      <c r="M104" s="163" t="s">
        <v>1438</v>
      </c>
    </row>
    <row r="243" spans="1:15">
      <c r="C243" s="162" t="s">
        <v>48</v>
      </c>
      <c r="D243" s="163" t="s">
        <v>123</v>
      </c>
      <c r="E243" s="163" t="s">
        <v>124</v>
      </c>
      <c r="F243" s="163" t="s">
        <v>118</v>
      </c>
      <c r="G243" s="163" t="s">
        <v>119</v>
      </c>
      <c r="H243" s="163" t="s">
        <v>120</v>
      </c>
      <c r="I243" s="164" t="s">
        <v>121</v>
      </c>
    </row>
    <row r="244" spans="1:15">
      <c r="C244" s="162" t="s">
        <v>50</v>
      </c>
      <c r="D244" s="165"/>
      <c r="E244" s="165"/>
      <c r="F244" s="165"/>
      <c r="G244" s="165"/>
      <c r="H244" s="165"/>
      <c r="I244" s="166"/>
    </row>
    <row r="245" spans="1:15">
      <c r="C245" s="162" t="s">
        <v>52</v>
      </c>
      <c r="D245" s="165"/>
      <c r="E245" s="165"/>
      <c r="F245" s="165"/>
      <c r="G245" s="165"/>
      <c r="H245" s="165"/>
      <c r="I245" s="166"/>
      <c r="J245" s="162" t="s">
        <v>125</v>
      </c>
      <c r="K245" s="162" t="s">
        <v>126</v>
      </c>
      <c r="L245" s="162" t="s">
        <v>127</v>
      </c>
      <c r="M245" s="162" t="s">
        <v>128</v>
      </c>
      <c r="N245" s="162" t="s">
        <v>129</v>
      </c>
      <c r="O245" s="132" t="s">
        <v>246</v>
      </c>
    </row>
    <row r="246" spans="1:15">
      <c r="A246" s="167">
        <f>TRUNC((1/'Step1-System Details'!E15),5)*1000</f>
        <v>1.5</v>
      </c>
      <c r="C246" s="162" t="s">
        <v>86</v>
      </c>
      <c r="D246" s="165"/>
      <c r="E246" s="165"/>
      <c r="F246" s="165"/>
      <c r="G246" s="165"/>
      <c r="H246" s="165"/>
      <c r="I246" s="166"/>
    </row>
    <row r="247" spans="1:15">
      <c r="C247" s="132" t="s">
        <v>4</v>
      </c>
      <c r="D247" s="165" t="e">
        <f>CEILING(IF(Speed_Bin_CL=11,10.285/$A$246,IF(Speed_Bin_CL=12,11.22/$A$246,IF(Speed_Bin_CL=13,12.155/$A$246,13.09/$A$246))),1)</f>
        <v>#NAME?</v>
      </c>
      <c r="E247" s="165" t="e">
        <f>CEILING(IF(Speed_Bin_CL=10,10.7/$A$246,IF(Speed_Bin_CL=11,11.77/$A$246,IF(Speed_Bin_CL=12,12.84/$A$246,13.91/$A$246))),1)</f>
        <v>#NAME?</v>
      </c>
      <c r="F247" s="165" t="e">
        <f>CEILING(IF(Speed_Bin_CL=8,10/$A$246,IF(Speed_Bin_CL=9,11.25/$A$246,IF(Speed_Bin_CL=10,12.5/$A$246,13.75/$A$246))),1)</f>
        <v>#NAME?</v>
      </c>
      <c r="G247" s="165" t="e">
        <f>CEILING(IF(Speed_Bin_CL=7,10.5/$A$246,IF(Speed_Bin_CL=8,12/$A$246,IF(Speed_Bin_CL=9,13.5/$A$246,15/$A$246))),1)</f>
        <v>#NAME?</v>
      </c>
      <c r="H247" s="165" t="e">
        <f>CEILING(IF(Speed_Bin_CL=6,11.25/$A$246,IF(Speed_Bin_CL=7,13.125/$A$246,15/$A$246)),1)</f>
        <v>#NAME?</v>
      </c>
      <c r="I247" s="166" t="e">
        <f>CEILING(IF(Speed_Bin_CL=5,12.5/$A$246,15/$A$246),1)</f>
        <v>#NAME?</v>
      </c>
    </row>
    <row r="248" spans="1:15">
      <c r="C248" s="132" t="s">
        <v>5</v>
      </c>
      <c r="D248" s="165" t="e">
        <f>CEILING(IF(Speed_Bin_CL=11,10.285/$A$246,IF(Speed_Bin_CL=12,11.22/$A$246,IF(Speed_Bin_CL=13,12.155/$A$246,13.09/$A$246))),1)</f>
        <v>#NAME?</v>
      </c>
      <c r="E248" s="165" t="e">
        <f>CEILING(IF(Speed_Bin_CL=10,10.7/$A$246,IF(Speed_Bin_CL=11,11.77/$A$246,IF(Speed_Bin_CL=12,12.84/$A$246,13.91/$A$246))),1)</f>
        <v>#NAME?</v>
      </c>
      <c r="F248" s="165" t="e">
        <f>CEILING(IF(Speed_Bin_CL=8,10/$A$246,IF(Speed_Bin_CL=9,11.25/$A$246,IF(Speed_Bin_CL=10,12.5/$A$246,13.75/$A$246))),1)</f>
        <v>#NAME?</v>
      </c>
      <c r="G248" s="165" t="e">
        <f>CEILING(IF(Speed_Bin_CL=7,10.5/$A$246,IF(Speed_Bin_CL=8,12/$A$246,IF(Speed_Bin_CL=9,13.5/$A$246,15/$A$246))),1)</f>
        <v>#NAME?</v>
      </c>
      <c r="H248" s="165" t="e">
        <f>CEILING(IF(Speed_Bin_CL=6,11.25/$A$246,IF(Speed_Bin_CL=7,13.125/$A$246,15/$A$246)),1)</f>
        <v>#NAME?</v>
      </c>
      <c r="I248" s="166" t="e">
        <f>CEILING(IF(Speed_Bin_CL=5,12.5/$A$246,15/$A$246),1)</f>
        <v>#NAME?</v>
      </c>
    </row>
    <row r="249" spans="1:15">
      <c r="C249" s="132" t="s">
        <v>6</v>
      </c>
      <c r="D249" s="165">
        <f>CEILING(((15/$A$246)),1)</f>
        <v>10</v>
      </c>
      <c r="E249" s="165">
        <f>CEILING(((15/$A$246)),1)</f>
        <v>10</v>
      </c>
      <c r="F249" s="165">
        <f>CEILING(15/$A$246,1)</f>
        <v>10</v>
      </c>
      <c r="G249" s="165">
        <f>CEILING(15/$A$246,1)</f>
        <v>10</v>
      </c>
      <c r="H249" s="165">
        <f>CEILING(15/$A$246,1)</f>
        <v>10</v>
      </c>
      <c r="I249" s="166">
        <f>CEILING(15/$A$246,1)</f>
        <v>10</v>
      </c>
      <c r="J249" s="132" t="e">
        <f>IF('Step1-System Details'!#REF!=8,MAX(3,CEILING((21/$A$246),1)),MAX(3,CEILING((18/$A$246),1)))</f>
        <v>#REF!</v>
      </c>
      <c r="K249" s="132" t="e">
        <f>IF('Step1-System Details'!#REF!=8,MAX(3,CEILING((21/$A$246),1)),MAX(3,CEILING((18/$A$246),1)))</f>
        <v>#REF!</v>
      </c>
      <c r="L249" s="132" t="e">
        <f>IF('Step1-System Details'!#REF!=8,MAX(3,CEILING((21/$A$246),1)),MAX(3,CEILING((18/$A$246),1)))</f>
        <v>#REF!</v>
      </c>
      <c r="M249" s="132" t="e">
        <f>IF('Step1-System Details'!#REF!=8,MAX(3,CEILING((21/$A$246),1)),MAX(3,CEILING((18/$A$246),1)))</f>
        <v>#REF!</v>
      </c>
      <c r="N249" s="132" t="e">
        <f>IF('Step1-System Details'!#REF!=8,MAX(3,CEILING((21/$A$246),1)),MAX(3,CEILING((18/$A$246),1)))</f>
        <v>#REF!</v>
      </c>
    </row>
    <row r="250" spans="1:15">
      <c r="C250" s="132" t="s">
        <v>57</v>
      </c>
      <c r="D250" s="165">
        <f>CEILING(((33/A246)),1)</f>
        <v>22</v>
      </c>
      <c r="E250" s="165">
        <f>CEILING(((34/$A$246)),1)</f>
        <v>23</v>
      </c>
      <c r="F250" s="165">
        <f>CEILING(35/$A$246,1)</f>
        <v>24</v>
      </c>
      <c r="G250" s="165">
        <f>CEILING(36/$A$246,1)</f>
        <v>24</v>
      </c>
      <c r="H250" s="165">
        <f>CEILING(((37.5/$A$246)),1)</f>
        <v>25</v>
      </c>
      <c r="I250" s="166">
        <f>CEILING(37.5/$A$246,1)</f>
        <v>25</v>
      </c>
      <c r="J250" s="132">
        <f>MAX(3,CEILING((18/$A$246),1))</f>
        <v>12</v>
      </c>
      <c r="K250" s="132">
        <f>MAX(3,CEILING((18/$A$246),1))</f>
        <v>12</v>
      </c>
      <c r="L250" s="132">
        <f>MAX(3,CEILING((18/$A$246),1))</f>
        <v>12</v>
      </c>
      <c r="M250" s="132">
        <f>MAX(3,CEILING((18/$A$246),1))</f>
        <v>12</v>
      </c>
      <c r="N250" s="132">
        <f>MAX(3,CEILING((18/$A$246),1))</f>
        <v>12</v>
      </c>
    </row>
    <row r="251" spans="1:15">
      <c r="C251" s="132" t="s">
        <v>7</v>
      </c>
      <c r="D251" s="165" t="e">
        <f>CEILING(IF(Speed_Bin_CL=11,43.285/$A$246,IF(Speed_Bin_CL=12,44.22/$A$246,IF(Speed_Bin_CL=13,45.155/$A$246,46.09/$A$246))),1)</f>
        <v>#NAME?</v>
      </c>
      <c r="E251" s="165" t="e">
        <f>CEILING(IF(Speed_Bin_CL=10,44.7/$A$246,IF(Speed_Bin_CL=11,45.77/$A$246,IF(Speed_Bin_CL=12,46.84/$A$246,47.91/$A$246))),1)</f>
        <v>#NAME?</v>
      </c>
      <c r="F251" s="165" t="e">
        <f>CEILING(IF(Speed_Bin_CL=8,45/$A$246,IF(Speed_Bin_CL=9,46.25/$A$246,IF(Speed_Bin_CL=10,47.5/$A$246,48.75/$A$246))),1)</f>
        <v>#NAME?</v>
      </c>
      <c r="G251" s="165" t="e">
        <f>CEILING(IF(Speed_Bin_CL=7,46.5/$A$246,IF(Speed_Bin_CL=8,48/$A$246,IF(Speed_Bin_CL=9,49.5/$A$246,51/$A$246))),1)</f>
        <v>#NAME?</v>
      </c>
      <c r="H251" s="165" t="e">
        <f>CEILING(IF(Speed_Bin_CL=6,48.75/$A$246,IF(Speed_Bin_CL=7,50.625/$A$246,52.5/$A$246)),1)</f>
        <v>#NAME?</v>
      </c>
      <c r="I251" s="166" t="e">
        <f>CEILING(IF(Speed_Bin_CL=5,50/$A$246,52.5/$A$246),1)</f>
        <v>#NAME?</v>
      </c>
      <c r="J251" s="132">
        <f>MAX(3,CEILING((15/$A$246),1))</f>
        <v>10</v>
      </c>
      <c r="K251" s="132">
        <f>MAX(3,CEILING((15/$A$246),1))</f>
        <v>10</v>
      </c>
      <c r="L251" s="132">
        <f>MAX(3,CEILING((15/$A$246),1))</f>
        <v>10</v>
      </c>
      <c r="M251" s="132">
        <f>MAX(3,CEILING((15/$A$246),1))</f>
        <v>10</v>
      </c>
      <c r="N251" s="132">
        <f>MAX(3,CEILING((15/$A$246),1))</f>
        <v>10</v>
      </c>
    </row>
    <row r="252" spans="1:15">
      <c r="C252" s="162" t="s">
        <v>149</v>
      </c>
      <c r="D252" s="165" t="e">
        <f>CEILING(IF(2^'Step1-System Details'!E28*'Step1-System Details'!#REF!/8=2048,35,25)/A246,1)</f>
        <v>#REF!</v>
      </c>
      <c r="E252" s="165" t="e">
        <f>CEILING(IF(2^'Step1-System Details'!$E$28*'Step1-System Details'!#REF!/8=2048,35,27)/A246,1)</f>
        <v>#REF!</v>
      </c>
      <c r="F252" s="165" t="e">
        <f>CEILING(IF(2^'Step1-System Details'!$E$28*'Step1-System Details'!#REF!/8=2048,40,30)/A246,1)</f>
        <v>#REF!</v>
      </c>
      <c r="G252" s="165" t="e">
        <f>CEILING(IF(2^'Step1-System Details'!$E$28*'Step1-System Details'!#REF!/8=2048,45,30)/A246,1)</f>
        <v>#REF!</v>
      </c>
      <c r="H252" s="165" t="e">
        <f>CEILING(IF(2^'Step1-System Details'!$E$28*'Step1-System Details'!#REF!/8=2048,50,37.5)/A246,1)</f>
        <v>#REF!</v>
      </c>
      <c r="I252" s="166" t="e">
        <f>CEILING(IF(2^'Step1-System Details'!$E$28*'Step1-System Details'!#REF!/8=2048,50,40)/A246,1)</f>
        <v>#REF!</v>
      </c>
      <c r="J252" s="132">
        <f>MAX(3,CEILING((42/$A$246),1))</f>
        <v>28</v>
      </c>
      <c r="K252" s="132">
        <f>MAX(3,CEILING((42/$A$246),1))</f>
        <v>28</v>
      </c>
      <c r="L252" s="132">
        <f>MAX(3,CEILING((42/$A$246),1))</f>
        <v>28</v>
      </c>
      <c r="M252" s="132">
        <f>MAX(3,CEILING((42/$A$246),1))</f>
        <v>28</v>
      </c>
      <c r="N252" s="132">
        <f>MAX(3,CEILING((42/$A$246),1))</f>
        <v>28</v>
      </c>
    </row>
    <row r="253" spans="1:15">
      <c r="C253" s="132" t="s">
        <v>8</v>
      </c>
      <c r="D253" s="165" t="e">
        <f t="shared" ref="D253:I253" si="10">CEILING(D252/4,1)</f>
        <v>#REF!</v>
      </c>
      <c r="E253" s="165" t="e">
        <f t="shared" si="10"/>
        <v>#REF!</v>
      </c>
      <c r="F253" s="165" t="e">
        <f t="shared" si="10"/>
        <v>#REF!</v>
      </c>
      <c r="G253" s="165" t="e">
        <f t="shared" si="10"/>
        <v>#REF!</v>
      </c>
      <c r="H253" s="165" t="e">
        <f t="shared" si="10"/>
        <v>#REF!</v>
      </c>
      <c r="I253" s="166" t="e">
        <f t="shared" si="10"/>
        <v>#REF!</v>
      </c>
      <c r="J253" s="132" t="e">
        <f>CEILING(SUM(IF('Step1-System Details'!#REF!=8,MAX(3,CEILING(21,1)),MAX(3,CEILING(18,1))),MAX(3,CEILING(42,1)))/$A$246,1)</f>
        <v>#REF!</v>
      </c>
      <c r="K253" s="132" t="e">
        <f>CEILING(SUM(IF('Step1-System Details'!#REF!=8,MAX(3,CEILING(21,1)),MAX(3,CEILING(18,1))),MAX(3,CEILING(42,1)))/$A$246,1)</f>
        <v>#REF!</v>
      </c>
      <c r="L253" s="132" t="e">
        <f>CEILING(SUM(IF('Step1-System Details'!#REF!=8,MAX(3,CEILING(21,1)),MAX(3,CEILING(18,1))),MAX(3,CEILING(42,1)))/$A$246,1)</f>
        <v>#REF!</v>
      </c>
      <c r="M253" s="132" t="e">
        <f>CEILING(SUM(IF('Step1-System Details'!#REF!=8,MAX(3,CEILING(21,1)),MAX(3,CEILING(18,1))),MAX(3,CEILING(42,1)))/$A$246,1)</f>
        <v>#REF!</v>
      </c>
      <c r="N253" s="132" t="e">
        <f>CEILING(SUM(IF('Step1-System Details'!#REF!=8,MAX(3,CEILING(21,1)),MAX(3,CEILING(18,1))),MAX(3,CEILING(42,1)))/$A$246,1)</f>
        <v>#REF!</v>
      </c>
    </row>
    <row r="254" spans="1:15">
      <c r="C254" s="132" t="s">
        <v>9</v>
      </c>
      <c r="D254" s="165">
        <f>CEILING(((MAX(4*A246,7.5)/A246)),1)</f>
        <v>5</v>
      </c>
      <c r="E254" s="165">
        <f>CEILING(((MAX(4*A246,7.5)/A246)),1)</f>
        <v>5</v>
      </c>
      <c r="F254" s="165">
        <f>CEILING(((MAX(4*A246,7.5)/A246)),1)</f>
        <v>5</v>
      </c>
      <c r="G254" s="165">
        <f>CEILING(((MAX(4*A246,7.5)/A246)),1)</f>
        <v>5</v>
      </c>
      <c r="H254" s="165">
        <f>CEILING(((MAX(4*A246,7.5)/A246)),1)</f>
        <v>5</v>
      </c>
      <c r="I254" s="166">
        <f>CEILING(((MAX(4*A246,7.5)/A246)),1)</f>
        <v>5</v>
      </c>
      <c r="J254" s="132">
        <f>CEILING(MAX(50,8*$A$246)/$A$246,1)</f>
        <v>34</v>
      </c>
      <c r="K254" s="132">
        <f>CEILING(MAX(50,8*$A$246)/$A$246,1)</f>
        <v>34</v>
      </c>
      <c r="L254" s="132">
        <f>CEILING(MAX(50,8*$A$246)/$A$246,1)</f>
        <v>34</v>
      </c>
      <c r="M254" s="132">
        <f>CEILING(MAX(50,8*$A$246)/$A$246,1)</f>
        <v>34</v>
      </c>
      <c r="N254" s="132">
        <f>CEILING(MAX(50,8*$A$246)/$A$246,1)</f>
        <v>34</v>
      </c>
    </row>
    <row r="255" spans="1:15">
      <c r="C255" s="132" t="s">
        <v>10</v>
      </c>
      <c r="D255" s="165">
        <f>CEILING(((MAX(3*A246,6)/A246)),1)</f>
        <v>4</v>
      </c>
      <c r="E255" s="165">
        <f>CEILING(((MAX(3*A246,6)/A246)),1)</f>
        <v>4</v>
      </c>
      <c r="F255" s="165">
        <f>CEILING(((MAX(3*A246,6)/A246)),1)</f>
        <v>4</v>
      </c>
      <c r="G255" s="165">
        <f>CEILING(((MAX(3*A246,6)/A246)),1)</f>
        <v>4</v>
      </c>
      <c r="H255" s="165">
        <f>CEILING(((MAX(3*A246,7.5)/A246)),1)</f>
        <v>5</v>
      </c>
      <c r="I255" s="166">
        <f>CEILING(((MAX(3*A246,7.5)/A246)),1)</f>
        <v>5</v>
      </c>
      <c r="J255" s="132">
        <f>CEILING(MAX(10,2*$A$246)/$A$246,1)</f>
        <v>7</v>
      </c>
      <c r="K255" s="132">
        <f>CEILING(MAX(10,2*$A$246)/$A$246,1)</f>
        <v>7</v>
      </c>
      <c r="L255" s="132">
        <f>CEILING(MAX(10,2*$A$246)/$A$246,1)</f>
        <v>7</v>
      </c>
      <c r="M255" s="132">
        <f>CEILING(MAX(10,2*$A$246)/$A$246,1)</f>
        <v>7</v>
      </c>
      <c r="N255" s="132">
        <f>CEILING(MAX(10,2*$A$246)/$A$246,1)</f>
        <v>7</v>
      </c>
    </row>
    <row r="256" spans="1:15">
      <c r="C256" s="132" t="s">
        <v>84</v>
      </c>
      <c r="D256" s="165"/>
      <c r="E256" s="165"/>
      <c r="F256" s="165"/>
      <c r="G256" s="165"/>
      <c r="H256" s="165"/>
      <c r="I256" s="166"/>
      <c r="J256" s="132">
        <f t="shared" ref="J256:N257" si="11">MAX(2,CEILING((7.5/$A$246),1))</f>
        <v>5</v>
      </c>
      <c r="K256" s="132">
        <f t="shared" si="11"/>
        <v>5</v>
      </c>
      <c r="L256" s="132">
        <f t="shared" si="11"/>
        <v>5</v>
      </c>
      <c r="M256" s="132">
        <f t="shared" si="11"/>
        <v>5</v>
      </c>
      <c r="N256" s="132">
        <f t="shared" si="11"/>
        <v>5</v>
      </c>
    </row>
    <row r="257" spans="1:14">
      <c r="C257" s="132" t="s">
        <v>63</v>
      </c>
      <c r="D257" s="165">
        <f>MAX(5,CEILING((IF('Step1-System Details'!$E$26=0.5,"90",IF('Step1-System Details'!$E$26=1,"110",IF('Step1-System Details'!$E$26=2,"160",IF('Step1-System Details'!$E$26=4,"260","350"))))+10)/$A$246,1))</f>
        <v>180</v>
      </c>
      <c r="E257" s="165">
        <f>MAX(5,CEILING((IF('Step1-System Details'!$E$26=0.5,"90",IF('Step1-System Details'!$E$26=1,"110",IF('Step1-System Details'!$E$26=2,"160",IF('Step1-System Details'!$E$26=4,"260","350"))))+10)/$A$246,1))</f>
        <v>180</v>
      </c>
      <c r="F257" s="165">
        <f>MAX(5,CEILING((IF('Step1-System Details'!$E$26=0.5,"90",IF('Step1-System Details'!$E$26=1,"110",IF('Step1-System Details'!$E$26=2,"160",IF('Step1-System Details'!$E$26=4,"260","350"))))+10)/$A$246,1))</f>
        <v>180</v>
      </c>
      <c r="G257" s="165">
        <f>MAX(5,CEILING((IF('Step1-System Details'!$E$26=0.5,"90",IF('Step1-System Details'!$E$26=1,"110",IF('Step1-System Details'!$E$26=2,"160",IF('Step1-System Details'!$E$26=4,"260","350"))))+10)/$A$246,1))</f>
        <v>180</v>
      </c>
      <c r="H257" s="165">
        <f>MAX(5,CEILING((IF('Step1-System Details'!$E$26=0.5,"90",IF('Step1-System Details'!$E$26=1,"110",IF('Step1-System Details'!$E$26=2,"160",IF('Step1-System Details'!$E$26=4,"260","350"))))+10)/$A$246,1))</f>
        <v>180</v>
      </c>
      <c r="I257" s="166">
        <f>MAX(5,CEILING((IF('Step1-System Details'!$E$26=0.5,"90",IF('Step1-System Details'!$E$26=1,"110",IF('Step1-System Details'!$E$26=2,"160",IF('Step1-System Details'!$E$26=4,"260","350"))))+10)/$A$246,1))</f>
        <v>180</v>
      </c>
      <c r="J257" s="132">
        <f t="shared" si="11"/>
        <v>5</v>
      </c>
      <c r="K257" s="132">
        <f t="shared" si="11"/>
        <v>5</v>
      </c>
      <c r="L257" s="132">
        <f t="shared" si="11"/>
        <v>5</v>
      </c>
      <c r="M257" s="132">
        <f t="shared" si="11"/>
        <v>5</v>
      </c>
      <c r="N257" s="132">
        <f t="shared" si="11"/>
        <v>5</v>
      </c>
    </row>
    <row r="258" spans="1:14">
      <c r="C258" s="132" t="s">
        <v>65</v>
      </c>
      <c r="D258" s="165">
        <f>512</f>
        <v>512</v>
      </c>
      <c r="E258" s="165">
        <f>512</f>
        <v>512</v>
      </c>
      <c r="F258" s="165">
        <f>512</f>
        <v>512</v>
      </c>
      <c r="G258" s="165">
        <f>512</f>
        <v>512</v>
      </c>
      <c r="H258" s="165">
        <f>512</f>
        <v>512</v>
      </c>
      <c r="I258" s="166">
        <f>512</f>
        <v>512</v>
      </c>
    </row>
    <row r="259" spans="1:14">
      <c r="C259" s="132" t="s">
        <v>11</v>
      </c>
      <c r="D259" s="165">
        <f>CEILING(((MAX(4*A246,7.5)/A246)),1)</f>
        <v>5</v>
      </c>
      <c r="E259" s="165">
        <f>CEILING(((MAX(4*A246,7.5)/A246)),1)</f>
        <v>5</v>
      </c>
      <c r="F259" s="165">
        <f>CEILING(((MAX(4*A246,7.5)/A246)),1)</f>
        <v>5</v>
      </c>
      <c r="G259" s="165">
        <f>CEILING(((MAX(4*A246,7.5)/A246)),1)</f>
        <v>5</v>
      </c>
      <c r="H259" s="165">
        <f>CEILING(((MAX(4*A246,7.5)/A246)),1)</f>
        <v>5</v>
      </c>
      <c r="I259" s="166">
        <f>CEILING(((MAX(4*A246,7.5)/A246)),1)</f>
        <v>5</v>
      </c>
      <c r="J259" s="132">
        <f>CEILING(((IF('Step1-System Details'!E26&lt;=0.5,90+10,IF('Step1-System Details'!E26=1,130+10,IF('Step1-System Details'!E26=2,130+10,IF('Step1-System Details'!E26=4,130+10,210+10))))/A246)),1)</f>
        <v>94</v>
      </c>
      <c r="K259" s="132">
        <f>CEILING(((IF('Step1-System Details'!E26&lt;=0.5,90+10,IF('Step1-System Details'!E26=1,130+10,IF('Step1-System Details'!E26=2,130+10,IF('Step1-System Details'!E26=4,130+10,210+10))))/A246)),1)</f>
        <v>94</v>
      </c>
      <c r="L259" s="132">
        <f>CEILING(((IF('Step1-System Details'!E26&lt;=0.5,90+10,IF('Step1-System Details'!E26=1,130+10,IF('Step1-System Details'!E26=2,130+10,IF('Step1-System Details'!E26=4,130+10,210+10))))/A246)),1)</f>
        <v>94</v>
      </c>
      <c r="M259" s="132">
        <f>CEILING(((IF('Step1-System Details'!E26&lt;=0.5,90+10,IF('Step1-System Details'!E26=1,130+10,IF('Step1-System Details'!E26=2,130+10,IF('Step1-System Details'!E26=4,130+10,210+10))))/A246)),1)</f>
        <v>94</v>
      </c>
      <c r="N259" s="132">
        <f>CEILING(((IF('Step1-System Details'!E26&lt;=0.5,90+10,IF('Step1-System Details'!E26=1,130+10,IF('Step1-System Details'!E26=2,130+10,IF('Step1-System Details'!E26=4,130+10,210+10))))/A246)),1)</f>
        <v>94</v>
      </c>
    </row>
    <row r="260" spans="1:14">
      <c r="C260" s="132" t="s">
        <v>12</v>
      </c>
      <c r="D260" s="165">
        <f>CEILING(((MAX(3*A246,5)/A246)),1)</f>
        <v>4</v>
      </c>
      <c r="E260" s="165">
        <f>CEILING(((MAX(3*A246,5)/A246)),1)</f>
        <v>4</v>
      </c>
      <c r="F260" s="165">
        <f>CEILING(((MAX(3*A246,5)/A246)),1)</f>
        <v>4</v>
      </c>
      <c r="G260" s="165">
        <f>CEILING(((MAX(3*A246,5.625)/A246)),1)</f>
        <v>4</v>
      </c>
      <c r="H260" s="165">
        <f>CEILING(((MAX(3*A246,5.625)/A246)),1)</f>
        <v>4</v>
      </c>
      <c r="I260" s="166">
        <f>CEILING(((MAX(3*A246,7.5)/A246)),1)</f>
        <v>5</v>
      </c>
    </row>
    <row r="261" spans="1:14">
      <c r="C261" s="132" t="s">
        <v>133</v>
      </c>
      <c r="D261" s="165"/>
      <c r="E261" s="165"/>
      <c r="F261" s="165"/>
      <c r="G261" s="165"/>
      <c r="H261" s="165"/>
      <c r="I261" s="166"/>
      <c r="J261" s="132">
        <f>MAX(2,CEILING((7.5/$A$246),1))</f>
        <v>5</v>
      </c>
      <c r="K261" s="132">
        <f>MAX(2,CEILING((7.5/$A$246),1))</f>
        <v>5</v>
      </c>
      <c r="L261" s="132">
        <f>MAX(2,CEILING((7.5/$A$246),1))</f>
        <v>5</v>
      </c>
      <c r="M261" s="132">
        <f>MAX(2,CEILING((7.5/$A$246),1))</f>
        <v>5</v>
      </c>
      <c r="N261" s="132">
        <f>MAX(2,CEILING((7.5/$A$246),1))</f>
        <v>5</v>
      </c>
    </row>
    <row r="262" spans="1:14">
      <c r="C262" s="132" t="s">
        <v>85</v>
      </c>
      <c r="D262" s="165"/>
      <c r="E262" s="165"/>
      <c r="F262" s="165"/>
      <c r="G262" s="165"/>
      <c r="H262" s="165"/>
      <c r="I262" s="166"/>
      <c r="J262" s="132">
        <v>3</v>
      </c>
      <c r="K262" s="132">
        <v>3</v>
      </c>
      <c r="L262" s="132">
        <v>3</v>
      </c>
      <c r="M262" s="132">
        <v>3</v>
      </c>
      <c r="N262" s="132">
        <v>3</v>
      </c>
    </row>
    <row r="263" spans="1:14">
      <c r="C263" s="132" t="s">
        <v>69</v>
      </c>
      <c r="D263" s="165">
        <f t="shared" ref="D263:I263" si="12">D260+1</f>
        <v>5</v>
      </c>
      <c r="E263" s="165">
        <f t="shared" si="12"/>
        <v>5</v>
      </c>
      <c r="F263" s="165">
        <f t="shared" si="12"/>
        <v>5</v>
      </c>
      <c r="G263" s="165">
        <f t="shared" si="12"/>
        <v>5</v>
      </c>
      <c r="H263" s="165">
        <f t="shared" si="12"/>
        <v>5</v>
      </c>
      <c r="I263" s="166">
        <f t="shared" si="12"/>
        <v>6</v>
      </c>
    </row>
    <row r="264" spans="1:14">
      <c r="C264" s="132" t="s">
        <v>13</v>
      </c>
      <c r="D264" s="165">
        <f>CEILING(((MAX(64*A246,80)/A246)),1)</f>
        <v>64</v>
      </c>
      <c r="E264" s="165">
        <f>CEILING(((MAX(64*A246,80)/A246)),1)</f>
        <v>64</v>
      </c>
      <c r="F264" s="165">
        <f>CEILING(((MAX(64*A246,80)/A246)),1)</f>
        <v>64</v>
      </c>
      <c r="G264" s="165">
        <f>CEILING(((MAX(64*A246,80)/A246)),1)</f>
        <v>64</v>
      </c>
      <c r="H264" s="165">
        <f>CEILING(((MAX(64*A246,80)/A246)),1)</f>
        <v>64</v>
      </c>
      <c r="I264" s="166">
        <f>CEILING(((MAX(64*A246,80)/A246)),1)</f>
        <v>64</v>
      </c>
    </row>
    <row r="265" spans="1:14">
      <c r="C265" s="132" t="s">
        <v>132</v>
      </c>
      <c r="D265" s="165"/>
      <c r="E265" s="165"/>
      <c r="F265" s="165"/>
      <c r="G265" s="165"/>
      <c r="H265" s="165"/>
      <c r="I265" s="166"/>
      <c r="J265" s="132">
        <f>MAX(3,CEILING((15/$A$246),1))</f>
        <v>10</v>
      </c>
      <c r="K265" s="132">
        <f>MAX(3,CEILING((15/$A$246),1))</f>
        <v>10</v>
      </c>
      <c r="L265" s="132">
        <f>MAX(3,CEILING((15/$A$246),1))</f>
        <v>10</v>
      </c>
      <c r="M265" s="132">
        <f>MAX(3,CEILING((15/$A$246),1))</f>
        <v>10</v>
      </c>
      <c r="N265" s="132">
        <f>MAX(3,CEILING((15/$A$246),1))</f>
        <v>10</v>
      </c>
    </row>
    <row r="266" spans="1:14">
      <c r="C266" s="132" t="s">
        <v>14</v>
      </c>
      <c r="D266" s="165">
        <f>CEILING(((IF('Step1-System Details'!E26=0.5,"90",IF('Step1-System Details'!E26=1,"110",IF('Step1-System Details'!E26=2,"160",IF('Step1-System Details'!E26=4,"260","350"))))/A246)),1)</f>
        <v>174</v>
      </c>
      <c r="E266" s="165">
        <f>CEILING(((IF('Step1-System Details'!E26=0.5,"90",IF('Step1-System Details'!E26=1,"110",IF('Step1-System Details'!E26=2,"160",IF('Step1-System Details'!E26=4,"260","350"))))/A246)),1)</f>
        <v>174</v>
      </c>
      <c r="F266" s="165">
        <f>CEILING(((IF('Step1-System Details'!E26=0.5,"90",IF('Step1-System Details'!E26=1,"110",IF('Step1-System Details'!E26=2,"160",IF('Step1-System Details'!E26=4,"260","350"))))/A246)),1)</f>
        <v>174</v>
      </c>
      <c r="G266" s="165">
        <f>CEILING(((IF('Step1-System Details'!E26=0.5,"90",IF('Step1-System Details'!E26=1,"110",IF('Step1-System Details'!E26=2,"160",IF('Step1-System Details'!E26=4,"260","350"))))/A246)),1)</f>
        <v>174</v>
      </c>
      <c r="H266" s="165">
        <f>CEILING(((IF('Step1-System Details'!E26=0.5,"90",IF('Step1-System Details'!E26=1,"110",IF('Step1-System Details'!E26=2,"160",IF('Step1-System Details'!E26=4,"260","350"))))/A246)),1)</f>
        <v>174</v>
      </c>
      <c r="I266" s="166">
        <f>CEILING(((IF('Step1-System Details'!E26=0.5,"90",IF('Step1-System Details'!E26=1,"110",IF('Step1-System Details'!E26=2,"160",IF('Step1-System Details'!E26=4,"260","350"))))/A246)),1)</f>
        <v>174</v>
      </c>
      <c r="J266" s="132">
        <f>CEILING(((90/A246)),1)</f>
        <v>60</v>
      </c>
      <c r="K266" s="132">
        <f>CEILING(((90/A246)),1)</f>
        <v>60</v>
      </c>
      <c r="L266" s="132">
        <f>CEILING(((90/A246)),1)</f>
        <v>60</v>
      </c>
      <c r="M266" s="132">
        <f>CEILING(((90/A246)),1)</f>
        <v>60</v>
      </c>
      <c r="N266" s="132">
        <f>CEILING(((90/A246)),1)</f>
        <v>60</v>
      </c>
    </row>
    <row r="267" spans="1:14">
      <c r="C267" s="132" t="s">
        <v>73</v>
      </c>
      <c r="D267" s="165" t="e">
        <f>FLOOR((9*'Step1-System Details'!#REF!)/('Step1-System Details'!#REF!),1)</f>
        <v>#REF!</v>
      </c>
      <c r="E267" s="165" t="e">
        <f>FLOOR((9*'Step1-System Details'!#REF!)/('Step1-System Details'!#REF!),1)</f>
        <v>#REF!</v>
      </c>
      <c r="F267" s="165" t="e">
        <f>FLOOR((9*'Step1-System Details'!#REF!)/('Step1-System Details'!#REF!),1)</f>
        <v>#REF!</v>
      </c>
      <c r="G267" s="165" t="e">
        <f>FLOOR((9*'Step1-System Details'!#REF!)/('Step1-System Details'!#REF!),1)</f>
        <v>#REF!</v>
      </c>
      <c r="H267" s="165" t="e">
        <f>FLOOR((9*'Step1-System Details'!#REF!)/('Step1-System Details'!#REF!),1)</f>
        <v>#REF!</v>
      </c>
      <c r="I267" s="166" t="e">
        <f>FLOOR((9*'Step1-System Details'!#REF!)/('Step1-System Details'!#REF!),1)</f>
        <v>#REF!</v>
      </c>
    </row>
    <row r="268" spans="1:14">
      <c r="C268" s="132" t="s">
        <v>15</v>
      </c>
      <c r="D268" s="165" t="e">
        <f>FLOOR((('Step1-System Details'!#REF!/A246)),1)</f>
        <v>#REF!</v>
      </c>
      <c r="E268" s="165" t="e">
        <f>FLOOR((('Step1-System Details'!#REF!/A246)),1)</f>
        <v>#REF!</v>
      </c>
      <c r="F268" s="165" t="e">
        <f>FLOOR((('Step1-System Details'!#REF!/A246)),1)</f>
        <v>#REF!</v>
      </c>
      <c r="G268" s="165" t="e">
        <f>FLOOR((('Step1-System Details'!#REF!/A246)),1)</f>
        <v>#REF!</v>
      </c>
      <c r="H268" s="165" t="e">
        <f>FLOOR((('Step1-System Details'!#REF!/A246)),1)</f>
        <v>#REF!</v>
      </c>
      <c r="I268" s="166" t="e">
        <f>FLOOR((('Step1-System Details'!#REF!/A246)),1)</f>
        <v>#REF!</v>
      </c>
      <c r="J268" s="132">
        <f>CEILING(((IF('Step1-System Details'!E26&lt;=0.5,"90",IF('Step1-System Details'!E26=1,"130",IF('Step1-System Details'!E26=2,"130",IF('Step1-System Details'!E26=4,"130","210"))))/A246)),1)</f>
        <v>87</v>
      </c>
      <c r="K268" s="132">
        <f>CEILING(((IF('Step1-System Details'!E26&lt;=0.5,"90",IF('Step1-System Details'!E26=1,"130",IF('Step1-System Details'!E26=2,"130",IF('Step1-System Details'!E26=4,"130","210"))))/A246)),1)</f>
        <v>87</v>
      </c>
      <c r="L268" s="132">
        <f>CEILING(((IF('Step1-System Details'!E26&lt;=0.5,"90",IF('Step1-System Details'!E26=1,"130",IF('Step1-System Details'!E26=2,"130",IF('Step1-System Details'!E26=4,"130","210"))))/A246)),1)</f>
        <v>87</v>
      </c>
      <c r="M268" s="132">
        <f>CEILING(((IF('Step1-System Details'!E26&lt;=0.5,"90",IF('Step1-System Details'!E26=1,"130",IF('Step1-System Details'!E26=2,"130",IF('Step1-System Details'!E26=4,"130","210"))))/A246)),1)</f>
        <v>87</v>
      </c>
      <c r="N268" s="132">
        <f>CEILING(((IF('Step1-System Details'!E26&lt;=0.5,"90",IF('Step1-System Details'!E26=1,"130",IF('Step1-System Details'!E26=2,"130",IF('Step1-System Details'!E26=4,"130","210"))))/A246)),1)</f>
        <v>87</v>
      </c>
    </row>
    <row r="269" spans="1:14">
      <c r="C269" s="162"/>
      <c r="D269" s="165"/>
      <c r="I269" s="166"/>
      <c r="J269" s="132" t="e">
        <f>FLOOR((70000/(J270*$A$246)),1)</f>
        <v>#REF!</v>
      </c>
      <c r="K269" s="132" t="e">
        <f>FLOOR((70000/(K270*$A$246)),1)</f>
        <v>#REF!</v>
      </c>
      <c r="L269" s="132" t="e">
        <f>FLOOR((70000/(L270*$A$246)),1)</f>
        <v>#REF!</v>
      </c>
      <c r="M269" s="132" t="e">
        <f>FLOOR((70000/(M270*$A$246)),1)</f>
        <v>#REF!</v>
      </c>
      <c r="N269" s="132" t="e">
        <f>FLOOR((70000/(N270*$A$246)),1)</f>
        <v>#REF!</v>
      </c>
    </row>
    <row r="270" spans="1:14">
      <c r="I270" s="166"/>
      <c r="J270" s="132" t="e">
        <f>FLOOR((('Step1-System Details'!#REF!/A246)),1)</f>
        <v>#REF!</v>
      </c>
      <c r="K270" s="132" t="e">
        <f>FLOOR((('Step1-System Details'!#REF!/A246)),1)</f>
        <v>#REF!</v>
      </c>
      <c r="L270" s="132" t="e">
        <f>FLOOR((('Step1-System Details'!#REF!/A246)),1)</f>
        <v>#REF!</v>
      </c>
      <c r="M270" s="132" t="e">
        <f>FLOOR((('Step1-System Details'!#REF!/A246)),1)</f>
        <v>#REF!</v>
      </c>
      <c r="N270" s="132" t="e">
        <f>FLOOR((('Step1-System Details'!#REF!/A246)),1)</f>
        <v>#REF!</v>
      </c>
    </row>
    <row r="272" spans="1:14">
      <c r="A272" s="132" t="s">
        <v>157</v>
      </c>
      <c r="B272" s="132" t="str">
        <f>'Step1-System Details'!E14</f>
        <v>DDR4</v>
      </c>
    </row>
    <row r="273" spans="1:10">
      <c r="A273" s="132" t="s">
        <v>158</v>
      </c>
      <c r="B273" s="132">
        <f>'Step1-System Details'!E25</f>
        <v>1333</v>
      </c>
      <c r="E273" s="132" t="s">
        <v>50</v>
      </c>
    </row>
    <row r="274" spans="1:10">
      <c r="C274" s="132" t="str">
        <f>IF('Step1-System Details'!E14="DDR3","DDR3_CL_Min",IF('Step1-System Details'!E14="DDR4","DDR3_CL_Min","LPDDR4_CL_Min"))</f>
        <v>DDR3_CL_Min</v>
      </c>
      <c r="D274" s="166" t="str">
        <f>IF('Step1-System Details'!E14="DDR3","DDR3_CL_Max",IF('Step1-System Details'!E14="DDR4","DDR3_CL_Min","LPDDR4_CL_Max"))</f>
        <v>DDR3_CL_Min</v>
      </c>
      <c r="E274" s="132" t="e">
        <f>INDEX($D$293:$J$295,MATCH($B$272,$C$291:$C$293,0),MATCH($B$273,$D$292:$J$292,0))</f>
        <v>#N/A</v>
      </c>
      <c r="G274" s="132">
        <f>IF(OR('Step1-System Details'!E14="DDR3",'Step1-System Details'!E14="DDR4"),IF(AND('Step1-System Details'!E25=800,D24&gt;=5,D24&lt;=6),1,IF(AND('Step1-System Details'!E25=1066,D24&gt;=5,D24&lt;=6),1,IF(AND('Step1-System Details'!E25=1333,D24&gt;=5,D24&lt;=6),1,IF(AND('Step1-System Details'!E25=1600,D24&gt;=5,D24&lt;=6),1,IF(AND('Step1-System Details'!E25=1866,D24&gt;=5,D24&lt;=6),1,IF(AND('Step1-System Details'!E25=2133,D24&gt;=5,D24&lt;=6),1,0)))))),IF(AND('Step1-System Details'!E25=533,D24=4),1,IF(AND('Step1-System Details'!E25=667,D24=5),1,IF(AND('Step1-System Details'!E25=800,D24=6),1,IF(AND('Step1-System Details'!E25=933,D24=7),1,IF(AND('Step1-System Details'!E25=1066,D24=8),1,0))))))</f>
        <v>0</v>
      </c>
      <c r="H274" s="163" t="s">
        <v>130</v>
      </c>
      <c r="I274" s="165" t="str">
        <f>IF('Step1-System Details'!E14="DDR3","DDR3_CWL",IF('Step1-System Details'!E14="DDR4","DDR4_CWL","LPDDR2_CWL"))</f>
        <v>DDR4_CWL</v>
      </c>
    </row>
    <row r="275" spans="1:10">
      <c r="C275" s="166">
        <v>5</v>
      </c>
      <c r="D275" s="166">
        <v>11</v>
      </c>
      <c r="E275" s="132">
        <v>5</v>
      </c>
      <c r="H275" s="132">
        <v>3</v>
      </c>
      <c r="I275" s="163" t="s">
        <v>117</v>
      </c>
    </row>
    <row r="276" spans="1:10">
      <c r="C276" s="166">
        <v>3</v>
      </c>
      <c r="D276" s="166">
        <v>8</v>
      </c>
      <c r="E276" s="132">
        <v>6</v>
      </c>
      <c r="G276" s="132">
        <v>533</v>
      </c>
      <c r="H276" s="132">
        <v>4</v>
      </c>
      <c r="I276" s="132">
        <v>5</v>
      </c>
      <c r="J276" s="132">
        <f>IF(OR('Step1-System Details'!E14="DDR3",'Step1-System Details'!E14="DDR4"),IF(D25="NA",1,0),IF(D25=5,1,0))</f>
        <v>0</v>
      </c>
    </row>
    <row r="277" spans="1:10">
      <c r="E277" s="132">
        <v>7</v>
      </c>
      <c r="G277" s="132">
        <v>667</v>
      </c>
      <c r="H277" s="132">
        <v>5</v>
      </c>
      <c r="I277" s="132">
        <v>6</v>
      </c>
    </row>
    <row r="278" spans="1:10">
      <c r="C278" s="166">
        <f>IF('Step1-System Details'!E14="DDR3",IF(AND(D24&gt;=5,D24&lt;=11),1,0),IF(AND(D24&gt;=3,D24&lt;=8),1,0))</f>
        <v>0</v>
      </c>
      <c r="E278" s="132">
        <v>8</v>
      </c>
      <c r="G278" s="132">
        <v>800</v>
      </c>
      <c r="H278" s="132">
        <v>6</v>
      </c>
      <c r="I278" s="132">
        <v>7</v>
      </c>
    </row>
    <row r="279" spans="1:10">
      <c r="E279" s="132">
        <v>9</v>
      </c>
      <c r="G279" s="132">
        <v>933</v>
      </c>
      <c r="H279" s="132">
        <v>7</v>
      </c>
      <c r="I279" s="132">
        <v>8</v>
      </c>
    </row>
    <row r="280" spans="1:10">
      <c r="E280" s="132">
        <v>10</v>
      </c>
      <c r="G280" s="132">
        <v>1066</v>
      </c>
      <c r="H280" s="132">
        <v>8</v>
      </c>
      <c r="I280" s="132">
        <v>9</v>
      </c>
    </row>
    <row r="281" spans="1:10">
      <c r="E281" s="132">
        <v>11</v>
      </c>
      <c r="I281" s="132">
        <v>10</v>
      </c>
    </row>
    <row r="282" spans="1:10">
      <c r="E282" s="132">
        <v>12</v>
      </c>
      <c r="I282" s="132">
        <v>11</v>
      </c>
    </row>
    <row r="283" spans="1:10">
      <c r="E283" s="132">
        <v>13</v>
      </c>
    </row>
    <row r="284" spans="1:10">
      <c r="E284" s="132">
        <v>14</v>
      </c>
    </row>
    <row r="288" spans="1:10">
      <c r="F288" s="162"/>
    </row>
    <row r="290" spans="3:11">
      <c r="D290" s="166">
        <v>533</v>
      </c>
      <c r="E290" s="166">
        <v>667</v>
      </c>
      <c r="F290" s="166">
        <v>800</v>
      </c>
      <c r="G290" s="166">
        <v>933</v>
      </c>
      <c r="H290" s="166">
        <v>1066</v>
      </c>
      <c r="I290" s="166">
        <v>1333</v>
      </c>
    </row>
    <row r="291" spans="3:11">
      <c r="C291" s="132" t="s">
        <v>134</v>
      </c>
      <c r="D291" s="166" t="s">
        <v>160</v>
      </c>
      <c r="E291" s="166" t="s">
        <v>159</v>
      </c>
      <c r="F291" s="166" t="s">
        <v>165</v>
      </c>
      <c r="G291" s="166" t="s">
        <v>168</v>
      </c>
      <c r="H291" s="166" t="s">
        <v>171</v>
      </c>
      <c r="I291" s="166" t="s">
        <v>174</v>
      </c>
    </row>
    <row r="292" spans="3:11">
      <c r="C292" s="132" t="s">
        <v>153</v>
      </c>
      <c r="D292" s="166" t="s">
        <v>161</v>
      </c>
      <c r="E292" s="166" t="s">
        <v>163</v>
      </c>
      <c r="F292" s="166" t="s">
        <v>166</v>
      </c>
      <c r="G292" s="166" t="s">
        <v>169</v>
      </c>
      <c r="H292" s="166" t="s">
        <v>172</v>
      </c>
      <c r="I292" s="166" t="s">
        <v>175</v>
      </c>
      <c r="J292" s="166">
        <v>1600</v>
      </c>
      <c r="K292" s="166"/>
    </row>
    <row r="293" spans="3:11">
      <c r="C293" s="132" t="s">
        <v>154</v>
      </c>
      <c r="D293" s="166" t="s">
        <v>162</v>
      </c>
      <c r="E293" s="166" t="s">
        <v>164</v>
      </c>
      <c r="F293" s="166" t="s">
        <v>167</v>
      </c>
      <c r="G293" s="166" t="s">
        <v>170</v>
      </c>
      <c r="H293" s="166" t="s">
        <v>173</v>
      </c>
      <c r="I293" s="166" t="s">
        <v>176</v>
      </c>
      <c r="J293" s="166" t="s">
        <v>177</v>
      </c>
      <c r="K293" s="166"/>
    </row>
    <row r="294" spans="3:11">
      <c r="J294" s="166" t="s">
        <v>178</v>
      </c>
      <c r="K294" s="166"/>
    </row>
    <row r="295" spans="3:11">
      <c r="J295" s="166" t="s">
        <v>179</v>
      </c>
      <c r="K295" s="166"/>
    </row>
  </sheetData>
  <sheetProtection password="8E0D" sheet="1" objects="1" scenarios="1"/>
  <mergeCells count="4">
    <mergeCell ref="D21:E21"/>
    <mergeCell ref="B22:B23"/>
    <mergeCell ref="C22:C23"/>
    <mergeCell ref="D22:E22"/>
  </mergeCells>
  <phoneticPr fontId="59" type="noConversion"/>
  <conditionalFormatting sqref="D25:D26">
    <cfRule type="expression" dxfId="1" priority="1">
      <formula>J275=1</formula>
    </cfRule>
  </conditionalFormatting>
  <dataValidations count="2">
    <dataValidation operator="greaterThanOrEqual" allowBlank="1" showInputMessage="1" showErrorMessage="1" sqref="F45 F62:F80 F103 F49:F59" xr:uid="{00000000-0002-0000-0200-000000000000}"/>
    <dataValidation type="decimal" allowBlank="1" showErrorMessage="1" errorTitle="Invalid value" error="Input proper integer or decimal value" sqref="D24:E104" xr:uid="{00000000-0002-0000-0200-000001000000}">
      <formula1>0</formula1>
      <formula2>1000000</formula2>
    </dataValidation>
  </dataValidations>
  <hyperlinks>
    <hyperlink ref="C19" r:id="rId1" xr:uid="{00000000-0004-0000-0200-000000000000}"/>
  </hyperlinks>
  <pageMargins left="0.7" right="0.7" top="0.75" bottom="0.75" header="0.3" footer="0.3"/>
  <pageSetup orientation="portrait"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rgb="FFFFFF66"/>
  </sheetPr>
  <dimension ref="A1:AK170"/>
  <sheetViews>
    <sheetView zoomScaleNormal="100" workbookViewId="0">
      <selection activeCell="X172" sqref="X172"/>
    </sheetView>
  </sheetViews>
  <sheetFormatPr defaultColWidth="9.140625" defaultRowHeight="12.75"/>
  <cols>
    <col min="1" max="1" width="20.5703125" style="172" customWidth="1"/>
    <col min="2" max="2" width="13" style="172" customWidth="1"/>
    <col min="3" max="4" width="6" style="172" customWidth="1"/>
    <col min="5" max="5" width="6" style="228" customWidth="1"/>
    <col min="6" max="36" width="6" style="172" customWidth="1"/>
    <col min="37" max="16384" width="9.140625" style="172"/>
  </cols>
  <sheetData>
    <row r="1" spans="1:36" s="132" customFormat="1" ht="12.75" customHeight="1">
      <c r="A1" s="472" t="s">
        <v>1466</v>
      </c>
      <c r="B1" s="473"/>
      <c r="C1" s="473"/>
      <c r="D1" s="473"/>
      <c r="E1" s="473"/>
      <c r="F1" s="473"/>
      <c r="G1" s="473"/>
      <c r="H1" s="473"/>
      <c r="I1" s="491"/>
      <c r="J1" s="491"/>
      <c r="K1" s="491"/>
      <c r="L1" s="491"/>
      <c r="M1" s="491"/>
      <c r="N1" s="491"/>
      <c r="O1" s="491"/>
      <c r="P1" s="491"/>
      <c r="Q1" s="491"/>
      <c r="R1" s="491"/>
      <c r="S1" s="491"/>
      <c r="T1" s="491"/>
      <c r="U1" s="491"/>
      <c r="V1" s="491"/>
      <c r="W1" s="491"/>
      <c r="X1" s="491"/>
      <c r="Y1" s="491"/>
      <c r="Z1" s="491"/>
      <c r="AA1" s="491"/>
      <c r="AB1" s="491"/>
      <c r="AC1" s="491"/>
      <c r="AD1" s="491"/>
      <c r="AE1" s="491"/>
      <c r="AF1" s="491"/>
      <c r="AG1" s="491"/>
      <c r="AH1" s="491"/>
      <c r="AI1" s="491"/>
    </row>
    <row r="2" spans="1:36" s="132" customFormat="1" ht="12.75" customHeight="1">
      <c r="A2" s="472"/>
      <c r="B2" s="473"/>
      <c r="C2" s="473"/>
      <c r="D2" s="473"/>
      <c r="E2" s="473"/>
      <c r="F2" s="473"/>
      <c r="G2" s="473"/>
      <c r="H2" s="473"/>
      <c r="I2" s="491"/>
      <c r="J2" s="491"/>
      <c r="K2" s="491"/>
      <c r="L2" s="491"/>
      <c r="M2" s="491"/>
      <c r="N2" s="491"/>
      <c r="O2" s="491"/>
      <c r="P2" s="491"/>
      <c r="Q2" s="491"/>
      <c r="R2" s="491"/>
      <c r="S2" s="491"/>
      <c r="T2" s="491"/>
      <c r="U2" s="491"/>
      <c r="V2" s="491"/>
      <c r="W2" s="491"/>
      <c r="X2" s="491"/>
      <c r="Y2" s="491"/>
      <c r="Z2" s="491"/>
      <c r="AA2" s="491"/>
      <c r="AB2" s="491"/>
      <c r="AC2" s="491"/>
      <c r="AD2" s="491"/>
      <c r="AE2" s="491"/>
      <c r="AF2" s="491"/>
      <c r="AG2" s="491"/>
      <c r="AH2" s="491"/>
      <c r="AI2" s="491"/>
    </row>
    <row r="3" spans="1:36" s="132" customFormat="1" ht="12.75" customHeight="1">
      <c r="A3" s="472"/>
      <c r="B3" s="473"/>
      <c r="C3" s="473"/>
      <c r="D3" s="473"/>
      <c r="E3" s="473"/>
      <c r="F3" s="473"/>
      <c r="G3" s="473"/>
      <c r="H3" s="473"/>
      <c r="I3" s="491"/>
      <c r="J3" s="491"/>
      <c r="K3" s="491"/>
      <c r="L3" s="491"/>
      <c r="M3" s="491"/>
      <c r="N3" s="491"/>
      <c r="O3" s="491"/>
      <c r="P3" s="491"/>
      <c r="Q3" s="491"/>
      <c r="R3" s="491"/>
      <c r="S3" s="491"/>
      <c r="T3" s="491"/>
      <c r="U3" s="491"/>
      <c r="V3" s="491"/>
      <c r="W3" s="491"/>
      <c r="X3" s="491"/>
      <c r="Y3" s="491"/>
      <c r="Z3" s="491"/>
      <c r="AA3" s="491"/>
      <c r="AB3" s="491"/>
      <c r="AC3" s="491"/>
      <c r="AD3" s="491"/>
      <c r="AE3" s="491"/>
      <c r="AF3" s="491"/>
      <c r="AG3" s="491"/>
      <c r="AH3" s="491"/>
      <c r="AI3" s="491"/>
    </row>
    <row r="4" spans="1:36" s="132" customFormat="1" ht="12.75" customHeight="1">
      <c r="A4" s="492" t="s">
        <v>92</v>
      </c>
      <c r="B4" s="491"/>
      <c r="C4" s="491"/>
      <c r="D4" s="491"/>
      <c r="E4" s="491"/>
      <c r="F4" s="491"/>
      <c r="G4" s="491"/>
      <c r="H4" s="491"/>
      <c r="I4" s="491"/>
      <c r="J4" s="491"/>
      <c r="K4" s="491"/>
      <c r="L4" s="491"/>
      <c r="M4" s="491"/>
      <c r="N4" s="491"/>
      <c r="O4" s="491"/>
      <c r="P4" s="491"/>
      <c r="Q4" s="491"/>
      <c r="R4" s="491"/>
      <c r="S4" s="491"/>
      <c r="T4" s="491"/>
      <c r="U4" s="491"/>
      <c r="V4" s="491"/>
      <c r="W4" s="491"/>
      <c r="X4" s="491"/>
      <c r="Y4" s="491"/>
      <c r="Z4" s="491"/>
      <c r="AA4" s="491"/>
      <c r="AB4" s="491"/>
      <c r="AC4" s="491"/>
      <c r="AD4" s="491"/>
      <c r="AE4" s="491"/>
      <c r="AF4" s="491"/>
      <c r="AG4" s="491"/>
      <c r="AH4" s="491"/>
      <c r="AI4" s="350"/>
    </row>
    <row r="5" spans="1:36" s="132" customFormat="1" ht="12.75" customHeight="1">
      <c r="A5" s="491"/>
      <c r="B5" s="491"/>
      <c r="C5" s="491"/>
      <c r="D5" s="491"/>
      <c r="E5" s="491"/>
      <c r="F5" s="491"/>
      <c r="G5" s="491"/>
      <c r="H5" s="491"/>
      <c r="I5" s="491"/>
      <c r="J5" s="491"/>
      <c r="K5" s="491"/>
      <c r="L5" s="491"/>
      <c r="M5" s="491"/>
      <c r="N5" s="491"/>
      <c r="O5" s="491"/>
      <c r="P5" s="491"/>
      <c r="Q5" s="491"/>
      <c r="R5" s="491"/>
      <c r="S5" s="491"/>
      <c r="T5" s="491"/>
      <c r="U5" s="491"/>
      <c r="V5" s="491"/>
      <c r="W5" s="491"/>
      <c r="X5" s="491"/>
      <c r="Y5" s="491"/>
      <c r="Z5" s="491"/>
      <c r="AA5" s="491"/>
      <c r="AB5" s="491"/>
      <c r="AC5" s="491"/>
      <c r="AD5" s="491"/>
      <c r="AE5" s="491"/>
      <c r="AF5" s="491"/>
      <c r="AG5" s="491"/>
      <c r="AH5" s="491"/>
      <c r="AI5" s="350"/>
    </row>
    <row r="6" spans="1:36" s="132" customFormat="1" ht="12.75" customHeight="1">
      <c r="A6" s="332" t="s">
        <v>1475</v>
      </c>
      <c r="B6" s="332"/>
      <c r="C6" s="333"/>
      <c r="D6" s="333"/>
      <c r="E6" s="334"/>
      <c r="F6" s="334"/>
      <c r="G6" s="333"/>
      <c r="H6" s="303"/>
      <c r="I6" s="303"/>
      <c r="J6" s="335"/>
      <c r="K6" s="335"/>
      <c r="L6" s="335"/>
      <c r="M6" s="335"/>
      <c r="N6" s="335"/>
      <c r="O6" s="335"/>
      <c r="P6" s="335"/>
      <c r="Q6" s="335"/>
      <c r="R6" s="335"/>
      <c r="S6" s="335"/>
      <c r="T6" s="335"/>
      <c r="U6" s="335"/>
      <c r="V6" s="335"/>
      <c r="W6" s="335"/>
      <c r="X6" s="335"/>
      <c r="Y6" s="335"/>
      <c r="Z6" s="335"/>
      <c r="AA6" s="335"/>
      <c r="AB6" s="335"/>
      <c r="AC6" s="335"/>
      <c r="AD6" s="335"/>
      <c r="AE6" s="335"/>
      <c r="AF6" s="335"/>
      <c r="AG6" s="335"/>
      <c r="AH6" s="335"/>
    </row>
    <row r="7" spans="1:36" s="132" customFormat="1" ht="12.75" customHeight="1">
      <c r="A7" s="332" t="s">
        <v>1473</v>
      </c>
      <c r="B7" s="332"/>
      <c r="C7" s="333"/>
      <c r="D7" s="333"/>
      <c r="E7" s="334"/>
      <c r="F7" s="334"/>
      <c r="G7" s="333"/>
      <c r="H7" s="303"/>
      <c r="I7" s="303"/>
      <c r="J7" s="335"/>
      <c r="K7" s="335"/>
      <c r="L7" s="335"/>
      <c r="M7" s="335"/>
      <c r="N7" s="335"/>
      <c r="O7" s="335"/>
      <c r="P7" s="335"/>
      <c r="Q7" s="335"/>
      <c r="R7" s="335"/>
      <c r="S7" s="335"/>
      <c r="T7" s="335"/>
      <c r="U7" s="335"/>
      <c r="V7" s="335"/>
      <c r="W7" s="335"/>
      <c r="X7" s="335"/>
      <c r="Y7" s="335"/>
      <c r="Z7" s="335"/>
      <c r="AA7" s="335"/>
      <c r="AB7" s="335"/>
      <c r="AC7" s="335"/>
      <c r="AD7" s="335"/>
      <c r="AE7" s="335"/>
      <c r="AF7" s="335"/>
      <c r="AG7" s="335"/>
      <c r="AH7" s="335"/>
    </row>
    <row r="8" spans="1:36" s="132" customFormat="1" ht="12.75" customHeight="1">
      <c r="A8" s="332" t="s">
        <v>1476</v>
      </c>
      <c r="B8" s="332"/>
      <c r="C8" s="333"/>
      <c r="D8" s="333"/>
      <c r="E8" s="334"/>
      <c r="F8" s="334"/>
      <c r="G8" s="333"/>
      <c r="H8" s="303"/>
      <c r="I8" s="303"/>
      <c r="J8" s="335"/>
      <c r="K8" s="335"/>
      <c r="L8" s="335"/>
      <c r="M8" s="335"/>
      <c r="N8" s="335"/>
      <c r="O8" s="335"/>
      <c r="P8" s="335"/>
      <c r="Q8" s="335"/>
      <c r="R8" s="335"/>
      <c r="S8" s="335"/>
      <c r="T8" s="335"/>
      <c r="U8" s="335"/>
      <c r="V8" s="335"/>
      <c r="W8" s="335"/>
      <c r="X8" s="335"/>
      <c r="Y8" s="335"/>
      <c r="Z8" s="335"/>
      <c r="AA8" s="335"/>
      <c r="AB8" s="335"/>
      <c r="AC8" s="335"/>
      <c r="AD8" s="335"/>
      <c r="AE8" s="335"/>
      <c r="AF8" s="335"/>
      <c r="AG8" s="335"/>
      <c r="AH8" s="335"/>
    </row>
    <row r="9" spans="1:36" s="132" customFormat="1" ht="12.75" customHeight="1">
      <c r="A9" s="304" t="s">
        <v>1474</v>
      </c>
      <c r="B9" s="332"/>
      <c r="C9" s="333"/>
      <c r="D9" s="333"/>
      <c r="E9" s="334"/>
      <c r="F9" s="334"/>
      <c r="G9" s="333"/>
      <c r="H9" s="303"/>
      <c r="I9" s="303"/>
      <c r="J9" s="302"/>
      <c r="K9" s="302"/>
      <c r="L9" s="302"/>
      <c r="M9" s="302"/>
      <c r="N9" s="302"/>
      <c r="O9" s="302"/>
      <c r="P9" s="302"/>
      <c r="Q9" s="302"/>
      <c r="R9" s="302"/>
      <c r="S9" s="302"/>
      <c r="T9" s="302"/>
      <c r="U9" s="302"/>
      <c r="V9" s="302"/>
      <c r="W9" s="302"/>
      <c r="X9" s="302"/>
      <c r="Y9" s="302"/>
      <c r="Z9" s="302"/>
      <c r="AA9" s="302"/>
      <c r="AB9" s="302"/>
      <c r="AC9" s="302"/>
      <c r="AD9" s="302"/>
      <c r="AE9" s="302"/>
      <c r="AF9" s="302"/>
      <c r="AG9" s="302"/>
      <c r="AH9" s="302"/>
    </row>
    <row r="10" spans="1:36" s="132" customFormat="1" ht="12.75" customHeight="1">
      <c r="A10" s="361" t="s">
        <v>1483</v>
      </c>
      <c r="B10" s="302"/>
      <c r="C10" s="359"/>
      <c r="D10" s="359"/>
      <c r="E10" s="359"/>
      <c r="F10" s="359"/>
      <c r="G10" s="360"/>
      <c r="H10" s="360"/>
      <c r="I10" s="359"/>
      <c r="J10" s="359"/>
      <c r="K10" s="303"/>
      <c r="L10" s="302"/>
      <c r="M10" s="302"/>
      <c r="N10" s="302"/>
      <c r="O10" s="302"/>
      <c r="P10" s="302"/>
      <c r="Q10" s="302"/>
      <c r="R10" s="302"/>
      <c r="S10" s="302"/>
      <c r="T10" s="302"/>
      <c r="U10" s="302"/>
      <c r="V10" s="302"/>
      <c r="W10" s="302"/>
      <c r="X10" s="302"/>
      <c r="Y10" s="302"/>
      <c r="Z10" s="302"/>
      <c r="AA10" s="302"/>
      <c r="AB10" s="302"/>
      <c r="AC10" s="302"/>
      <c r="AD10" s="302"/>
      <c r="AE10" s="302"/>
      <c r="AF10" s="302"/>
      <c r="AG10" s="302"/>
      <c r="AH10" s="302"/>
    </row>
    <row r="12" spans="1:36" ht="13.5" thickBot="1">
      <c r="A12" s="343" t="s">
        <v>899</v>
      </c>
      <c r="B12" s="339"/>
      <c r="C12" s="340">
        <v>31</v>
      </c>
      <c r="D12" s="341">
        <v>30</v>
      </c>
      <c r="E12" s="341">
        <v>29</v>
      </c>
      <c r="F12" s="341">
        <v>28</v>
      </c>
      <c r="G12" s="341">
        <v>27</v>
      </c>
      <c r="H12" s="341">
        <v>26</v>
      </c>
      <c r="I12" s="341">
        <v>25</v>
      </c>
      <c r="J12" s="341">
        <v>24</v>
      </c>
      <c r="K12" s="341">
        <v>23</v>
      </c>
      <c r="L12" s="341">
        <v>22</v>
      </c>
      <c r="M12" s="341">
        <v>21</v>
      </c>
      <c r="N12" s="341">
        <v>20</v>
      </c>
      <c r="O12" s="341">
        <v>19</v>
      </c>
      <c r="P12" s="341">
        <v>18</v>
      </c>
      <c r="Q12" s="341">
        <v>17</v>
      </c>
      <c r="R12" s="341">
        <v>16</v>
      </c>
      <c r="S12" s="341">
        <v>15</v>
      </c>
      <c r="T12" s="341">
        <v>14</v>
      </c>
      <c r="U12" s="341">
        <v>13</v>
      </c>
      <c r="V12" s="341">
        <v>12</v>
      </c>
      <c r="W12" s="341">
        <v>11</v>
      </c>
      <c r="X12" s="341">
        <v>10</v>
      </c>
      <c r="Y12" s="341">
        <v>9</v>
      </c>
      <c r="Z12" s="341">
        <v>8</v>
      </c>
      <c r="AA12" s="341">
        <v>7</v>
      </c>
      <c r="AB12" s="341">
        <v>6</v>
      </c>
      <c r="AC12" s="341">
        <v>5</v>
      </c>
      <c r="AD12" s="341">
        <v>4</v>
      </c>
      <c r="AE12" s="341">
        <v>3</v>
      </c>
      <c r="AF12" s="341">
        <v>2</v>
      </c>
      <c r="AG12" s="341">
        <v>1</v>
      </c>
      <c r="AH12" s="342">
        <v>0</v>
      </c>
    </row>
    <row r="13" spans="1:36" ht="13.5" thickTop="1">
      <c r="A13" s="344" t="s">
        <v>2376</v>
      </c>
      <c r="B13" s="336"/>
      <c r="C13" s="337" t="s">
        <v>117</v>
      </c>
      <c r="D13" s="338" t="s">
        <v>117</v>
      </c>
      <c r="E13" s="338" t="s">
        <v>117</v>
      </c>
      <c r="F13" s="338" t="s">
        <v>117</v>
      </c>
      <c r="G13" s="338" t="s">
        <v>926</v>
      </c>
      <c r="H13" s="338" t="s">
        <v>925</v>
      </c>
      <c r="I13" s="338" t="s">
        <v>924</v>
      </c>
      <c r="J13" s="338" t="s">
        <v>923</v>
      </c>
      <c r="K13" s="338" t="s">
        <v>922</v>
      </c>
      <c r="L13" s="338" t="s">
        <v>921</v>
      </c>
      <c r="M13" s="338" t="s">
        <v>920</v>
      </c>
      <c r="N13" s="338" t="s">
        <v>919</v>
      </c>
      <c r="O13" s="338" t="s">
        <v>918</v>
      </c>
      <c r="P13" s="338" t="s">
        <v>917</v>
      </c>
      <c r="Q13" s="338" t="s">
        <v>916</v>
      </c>
      <c r="R13" s="338" t="s">
        <v>915</v>
      </c>
      <c r="S13" s="338" t="s">
        <v>914</v>
      </c>
      <c r="T13" s="338" t="s">
        <v>913</v>
      </c>
      <c r="U13" s="338" t="s">
        <v>912</v>
      </c>
      <c r="V13" s="338" t="s">
        <v>712</v>
      </c>
      <c r="W13" s="338" t="s">
        <v>931</v>
      </c>
      <c r="X13" s="338" t="s">
        <v>930</v>
      </c>
      <c r="Y13" s="338" t="s">
        <v>909</v>
      </c>
      <c r="Z13" s="338" t="s">
        <v>908</v>
      </c>
      <c r="AA13" s="338" t="s">
        <v>907</v>
      </c>
      <c r="AB13" s="338" t="s">
        <v>906</v>
      </c>
      <c r="AC13" s="338" t="s">
        <v>905</v>
      </c>
      <c r="AD13" s="338" t="s">
        <v>904</v>
      </c>
      <c r="AE13" s="338" t="s">
        <v>903</v>
      </c>
      <c r="AF13" s="338" t="s">
        <v>902</v>
      </c>
      <c r="AG13" s="205" t="s">
        <v>901</v>
      </c>
      <c r="AH13" s="351" t="s">
        <v>900</v>
      </c>
    </row>
    <row r="14" spans="1:36">
      <c r="C14" s="229"/>
      <c r="F14" s="230"/>
      <c r="G14" s="230"/>
      <c r="H14" s="230"/>
      <c r="I14" s="230"/>
      <c r="J14" s="230"/>
      <c r="K14" s="230"/>
      <c r="L14" s="230"/>
      <c r="M14" s="230"/>
      <c r="N14" s="230"/>
      <c r="O14" s="230"/>
      <c r="P14" s="230"/>
      <c r="Q14" s="230"/>
      <c r="R14" s="230"/>
      <c r="S14" s="230"/>
      <c r="T14" s="230"/>
      <c r="U14" s="230"/>
      <c r="V14" s="230"/>
      <c r="W14" s="230"/>
      <c r="X14" s="230"/>
      <c r="Y14" s="230"/>
      <c r="Z14" s="230"/>
      <c r="AA14" s="230"/>
      <c r="AB14" s="230"/>
      <c r="AC14" s="230"/>
      <c r="AD14" s="230"/>
      <c r="AE14" s="230"/>
      <c r="AF14" s="230"/>
      <c r="AG14" s="229" t="s">
        <v>1459</v>
      </c>
      <c r="AI14" s="230"/>
      <c r="AJ14" s="231"/>
    </row>
    <row r="15" spans="1:36" hidden="1">
      <c r="C15" s="229"/>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0"/>
      <c r="AG15" s="229"/>
      <c r="AI15" s="230"/>
      <c r="AJ15" s="231"/>
    </row>
    <row r="16" spans="1:36" hidden="1">
      <c r="A16" s="229" t="s">
        <v>1482</v>
      </c>
      <c r="B16" s="229" t="str">
        <f>Memory_Type</f>
        <v>DDR4</v>
      </c>
      <c r="C16" s="229" t="s">
        <v>117</v>
      </c>
      <c r="D16" s="229" t="s">
        <v>117</v>
      </c>
      <c r="E16" s="230" t="str">
        <f>IF($B$16="DDR4",IF(Total_number_of_banks=16,IF(Number_of_Rows&gt;15,"row15","NA"),IF(Number_of_Rows&gt;16,"row16","NA")),"NA")</f>
        <v>NA</v>
      </c>
      <c r="F16" s="230" t="str">
        <f>IF($B$16="DDR4",IF(Total_number_of_banks=16,IF(Number_of_Rows&gt;14,"row14","NA"),IF(Number_of_Rows&gt;15,"row15","NA")),"row15")</f>
        <v>NA</v>
      </c>
      <c r="G16" s="230" t="str">
        <f>IF($B$16="DDR4",IF(Total_number_of_banks=16,"row13","row14"),"row14")</f>
        <v>row14</v>
      </c>
      <c r="H16" s="230" t="str">
        <f>IF($B$16="DDR4",IF(Total_number_of_banks=16,"row12","row13"),"row13")</f>
        <v>row13</v>
      </c>
      <c r="I16" s="230" t="str">
        <f>IF($B$16="DDR4",IF(Total_number_of_banks=16,"row11","row12"),"row12")</f>
        <v>row12</v>
      </c>
      <c r="J16" s="230" t="str">
        <f>IF($B$16="DDR4",IF(Total_number_of_banks=16,"row10","row11"),"row11")</f>
        <v>row11</v>
      </c>
      <c r="K16" s="230" t="str">
        <f>IF($B$16="DDR4",IF(Total_number_of_banks=16,"row9","row10"),"row10")</f>
        <v>row10</v>
      </c>
      <c r="L16" s="230" t="str">
        <f>IF($B$16="DDR4",IF(Total_number_of_banks=16,"row8","row9"),"row9")</f>
        <v>row9</v>
      </c>
      <c r="M16" s="230" t="str">
        <f>IF($B$16="DDR4",IF(Total_number_of_banks=16,"row7","row8"),"row8")</f>
        <v>row8</v>
      </c>
      <c r="N16" s="230" t="str">
        <f>IF($B$16="DDR4",IF(Total_number_of_banks=16,"row6","row7"),"row7")</f>
        <v>row7</v>
      </c>
      <c r="O16" s="230" t="str">
        <f>IF($B$16="DDR4",IF(Total_number_of_banks=16,"row5","row6"),"row6")</f>
        <v>row6</v>
      </c>
      <c r="P16" s="230" t="str">
        <f>IF($B$16="DDR4",IF(Total_number_of_banks=16,"row4","row5"),"row5")</f>
        <v>row5</v>
      </c>
      <c r="Q16" s="230" t="str">
        <f>IF($B$16="DDR4",IF(Total_number_of_banks=16,"row3","row4"),"row4")</f>
        <v>row4</v>
      </c>
      <c r="R16" s="230" t="str">
        <f>IF($B$16="DDR4",IF(Total_number_of_banks=16,"row2","row3"),"row3")</f>
        <v>row3</v>
      </c>
      <c r="S16" s="230" t="str">
        <f>IF($B$16="DDR4",IF(Total_number_of_banks=16,"row1","row2"),"row2")</f>
        <v>row2</v>
      </c>
      <c r="T16" s="230" t="str">
        <f>IF($B$16="DDR4",IF(Total_number_of_banks=16,"row0","row1"),"row1")</f>
        <v>row1</v>
      </c>
      <c r="U16" s="230" t="str">
        <f>IF($B$16="DDR4",IF(Total_number_of_banks=16,"bg1","row0"),"row0")</f>
        <v>row0</v>
      </c>
      <c r="V16" s="230" t="str">
        <f>IF($B$16="DDR4","bg0","bank2")</f>
        <v>bg0</v>
      </c>
      <c r="W16" s="230" t="s">
        <v>931</v>
      </c>
      <c r="X16" s="230" t="s">
        <v>930</v>
      </c>
      <c r="Y16" s="230" t="s">
        <v>909</v>
      </c>
      <c r="Z16" s="230" t="s">
        <v>908</v>
      </c>
      <c r="AA16" s="230" t="s">
        <v>907</v>
      </c>
      <c r="AB16" s="230" t="s">
        <v>906</v>
      </c>
      <c r="AC16" s="230" t="s">
        <v>905</v>
      </c>
      <c r="AD16" s="230" t="s">
        <v>904</v>
      </c>
      <c r="AE16" s="230" t="s">
        <v>903</v>
      </c>
      <c r="AF16" s="230" t="s">
        <v>902</v>
      </c>
      <c r="AG16" s="229"/>
      <c r="AI16" s="230"/>
      <c r="AJ16" s="231"/>
    </row>
    <row r="17" spans="1:37" hidden="1">
      <c r="C17" s="229"/>
      <c r="F17" s="230"/>
      <c r="G17" s="230"/>
      <c r="H17" s="230"/>
      <c r="I17" s="230"/>
      <c r="J17" s="230"/>
      <c r="K17" s="230"/>
      <c r="L17" s="230"/>
      <c r="M17" s="230"/>
      <c r="N17" s="230"/>
      <c r="O17" s="230"/>
      <c r="P17" s="230"/>
      <c r="Q17" s="230"/>
      <c r="R17" s="230"/>
      <c r="S17" s="230"/>
      <c r="T17" s="230"/>
      <c r="U17" s="230"/>
      <c r="V17" s="230"/>
      <c r="W17" s="230"/>
      <c r="X17" s="230"/>
      <c r="Y17" s="230"/>
      <c r="Z17" s="230"/>
      <c r="AA17" s="230"/>
      <c r="AB17" s="230"/>
      <c r="AC17" s="230"/>
      <c r="AD17" s="230"/>
      <c r="AE17" s="230"/>
      <c r="AF17" s="230"/>
      <c r="AG17" s="229"/>
      <c r="AI17" s="230"/>
      <c r="AJ17" s="231"/>
    </row>
    <row r="18" spans="1:37" hidden="1">
      <c r="C18" s="229"/>
      <c r="F18" s="230"/>
      <c r="G18" s="230"/>
      <c r="H18" s="230"/>
      <c r="I18" s="230"/>
      <c r="J18" s="230"/>
      <c r="K18" s="230"/>
      <c r="L18" s="230"/>
      <c r="M18" s="230"/>
      <c r="N18" s="230"/>
      <c r="O18" s="230"/>
      <c r="P18" s="230"/>
      <c r="Q18" s="230"/>
      <c r="R18" s="230"/>
      <c r="S18" s="230"/>
      <c r="T18" s="230"/>
      <c r="U18" s="230"/>
      <c r="V18" s="230"/>
      <c r="W18" s="230"/>
      <c r="X18" s="230"/>
      <c r="Y18" s="230"/>
      <c r="Z18" s="230"/>
      <c r="AA18" s="230"/>
      <c r="AB18" s="230"/>
      <c r="AC18" s="230"/>
      <c r="AD18" s="230"/>
      <c r="AE18" s="230"/>
      <c r="AF18" s="230"/>
      <c r="AG18" s="229"/>
      <c r="AI18" s="230"/>
      <c r="AJ18" s="231"/>
    </row>
    <row r="19" spans="1:37" hidden="1">
      <c r="A19" s="229" t="s">
        <v>1462</v>
      </c>
      <c r="C19" s="348">
        <f t="shared" ref="C19:AF19" ca="1" si="0">IF(AND(IF(COUNTIF($C$13:$AH$13,C13)&gt;1,0,1),IF(Memory_Type="DDR4",COUNTIF(INDIRECT(CONCATENATE("DDR4_HIF",C12)),C13),    IF(Memory_Type="LPDDR4",COUNTIF(INDIRECT(CONCATENATE("LPDDR4_HIF",C12)),C13),COUNTIF(INDIRECT(CONCATENATE("DDR3_HIF",C12)),C13)))),1,0)</f>
        <v>0</v>
      </c>
      <c r="D19" s="348">
        <f t="shared" ca="1" si="0"/>
        <v>0</v>
      </c>
      <c r="E19" s="348">
        <f t="shared" ca="1" si="0"/>
        <v>0</v>
      </c>
      <c r="F19" s="348">
        <f t="shared" ca="1" si="0"/>
        <v>0</v>
      </c>
      <c r="G19" s="348">
        <f t="shared" ca="1" si="0"/>
        <v>1</v>
      </c>
      <c r="H19" s="348">
        <f t="shared" ca="1" si="0"/>
        <v>1</v>
      </c>
      <c r="I19" s="348">
        <f t="shared" ca="1" si="0"/>
        <v>1</v>
      </c>
      <c r="J19" s="348">
        <f t="shared" ca="1" si="0"/>
        <v>1</v>
      </c>
      <c r="K19" s="348">
        <f t="shared" ca="1" si="0"/>
        <v>1</v>
      </c>
      <c r="L19" s="348">
        <f t="shared" ca="1" si="0"/>
        <v>1</v>
      </c>
      <c r="M19" s="348">
        <f t="shared" ca="1" si="0"/>
        <v>1</v>
      </c>
      <c r="N19" s="348">
        <f t="shared" ca="1" si="0"/>
        <v>1</v>
      </c>
      <c r="O19" s="348">
        <f t="shared" ca="1" si="0"/>
        <v>1</v>
      </c>
      <c r="P19" s="348">
        <f t="shared" ca="1" si="0"/>
        <v>1</v>
      </c>
      <c r="Q19" s="348">
        <f t="shared" ca="1" si="0"/>
        <v>1</v>
      </c>
      <c r="R19" s="348">
        <f t="shared" ca="1" si="0"/>
        <v>1</v>
      </c>
      <c r="S19" s="348">
        <f t="shared" ca="1" si="0"/>
        <v>1</v>
      </c>
      <c r="T19" s="348">
        <f t="shared" ca="1" si="0"/>
        <v>1</v>
      </c>
      <c r="U19" s="348">
        <f t="shared" ca="1" si="0"/>
        <v>1</v>
      </c>
      <c r="V19" s="348">
        <f t="shared" ca="1" si="0"/>
        <v>1</v>
      </c>
      <c r="W19" s="348">
        <f t="shared" ca="1" si="0"/>
        <v>1</v>
      </c>
      <c r="X19" s="348">
        <f t="shared" ca="1" si="0"/>
        <v>1</v>
      </c>
      <c r="Y19" s="348">
        <f t="shared" ca="1" si="0"/>
        <v>1</v>
      </c>
      <c r="Z19" s="348">
        <f t="shared" ca="1" si="0"/>
        <v>1</v>
      </c>
      <c r="AA19" s="348">
        <f t="shared" ca="1" si="0"/>
        <v>1</v>
      </c>
      <c r="AB19" s="348">
        <f t="shared" ca="1" si="0"/>
        <v>1</v>
      </c>
      <c r="AC19" s="348">
        <f t="shared" ca="1" si="0"/>
        <v>1</v>
      </c>
      <c r="AD19" s="348">
        <f t="shared" ca="1" si="0"/>
        <v>1</v>
      </c>
      <c r="AE19" s="348">
        <f t="shared" ca="1" si="0"/>
        <v>1</v>
      </c>
      <c r="AF19" s="348">
        <f t="shared" ca="1" si="0"/>
        <v>1</v>
      </c>
    </row>
    <row r="20" spans="1:37" hidden="1">
      <c r="A20" s="229" t="s">
        <v>1461</v>
      </c>
      <c r="C20" s="172" t="str">
        <f t="shared" ref="C20:AF20" si="1">IF(Memory_Type="DDR4",CONCATENATE("DDR4_HIF",C12),IF(Memory_Type="LPDDR4",CONCATENATE("LPDDR4_HIF",C12),CONCATENATE("DDR3_HIF",C12)))</f>
        <v>DDR4_HIF31</v>
      </c>
      <c r="D20" s="172" t="str">
        <f t="shared" si="1"/>
        <v>DDR4_HIF30</v>
      </c>
      <c r="E20" s="172" t="str">
        <f t="shared" si="1"/>
        <v>DDR4_HIF29</v>
      </c>
      <c r="F20" s="172" t="str">
        <f t="shared" si="1"/>
        <v>DDR4_HIF28</v>
      </c>
      <c r="G20" s="172" t="str">
        <f t="shared" si="1"/>
        <v>DDR4_HIF27</v>
      </c>
      <c r="H20" s="172" t="str">
        <f t="shared" si="1"/>
        <v>DDR4_HIF26</v>
      </c>
      <c r="I20" s="172" t="str">
        <f t="shared" si="1"/>
        <v>DDR4_HIF25</v>
      </c>
      <c r="J20" s="172" t="str">
        <f t="shared" si="1"/>
        <v>DDR4_HIF24</v>
      </c>
      <c r="K20" s="172" t="str">
        <f t="shared" si="1"/>
        <v>DDR4_HIF23</v>
      </c>
      <c r="L20" s="172" t="str">
        <f t="shared" si="1"/>
        <v>DDR4_HIF22</v>
      </c>
      <c r="M20" s="172" t="str">
        <f t="shared" si="1"/>
        <v>DDR4_HIF21</v>
      </c>
      <c r="N20" s="172" t="str">
        <f t="shared" si="1"/>
        <v>DDR4_HIF20</v>
      </c>
      <c r="O20" s="172" t="str">
        <f t="shared" si="1"/>
        <v>DDR4_HIF19</v>
      </c>
      <c r="P20" s="172" t="str">
        <f t="shared" si="1"/>
        <v>DDR4_HIF18</v>
      </c>
      <c r="Q20" s="172" t="str">
        <f t="shared" si="1"/>
        <v>DDR4_HIF17</v>
      </c>
      <c r="R20" s="172" t="str">
        <f t="shared" si="1"/>
        <v>DDR4_HIF16</v>
      </c>
      <c r="S20" s="172" t="str">
        <f t="shared" si="1"/>
        <v>DDR4_HIF15</v>
      </c>
      <c r="T20" s="172" t="str">
        <f t="shared" si="1"/>
        <v>DDR4_HIF14</v>
      </c>
      <c r="U20" s="172" t="str">
        <f t="shared" si="1"/>
        <v>DDR4_HIF13</v>
      </c>
      <c r="V20" s="172" t="str">
        <f t="shared" si="1"/>
        <v>DDR4_HIF12</v>
      </c>
      <c r="W20" s="172" t="str">
        <f t="shared" si="1"/>
        <v>DDR4_HIF11</v>
      </c>
      <c r="X20" s="172" t="str">
        <f t="shared" si="1"/>
        <v>DDR4_HIF10</v>
      </c>
      <c r="Y20" s="172" t="str">
        <f t="shared" si="1"/>
        <v>DDR4_HIF9</v>
      </c>
      <c r="Z20" s="172" t="str">
        <f t="shared" si="1"/>
        <v>DDR4_HIF8</v>
      </c>
      <c r="AA20" s="172" t="str">
        <f t="shared" si="1"/>
        <v>DDR4_HIF7</v>
      </c>
      <c r="AB20" s="172" t="str">
        <f t="shared" si="1"/>
        <v>DDR4_HIF6</v>
      </c>
      <c r="AC20" s="172" t="str">
        <f t="shared" si="1"/>
        <v>DDR4_HIF5</v>
      </c>
      <c r="AD20" s="172" t="str">
        <f t="shared" si="1"/>
        <v>DDR4_HIF4</v>
      </c>
      <c r="AE20" s="172" t="str">
        <f t="shared" si="1"/>
        <v>DDR4_HIF3</v>
      </c>
      <c r="AF20" s="172" t="str">
        <f t="shared" si="1"/>
        <v>DDR4_HIF2</v>
      </c>
      <c r="AI20" s="299"/>
    </row>
    <row r="21" spans="1:37" hidden="1">
      <c r="AH21" s="229"/>
      <c r="AI21" s="299"/>
    </row>
    <row r="22" spans="1:37" hidden="1">
      <c r="C22" s="172" t="str">
        <f t="shared" ref="C22:AF22" si="2">CONCATENATE("DDR4_HIF",C12)</f>
        <v>DDR4_HIF31</v>
      </c>
      <c r="D22" s="172" t="str">
        <f t="shared" si="2"/>
        <v>DDR4_HIF30</v>
      </c>
      <c r="E22" s="172" t="str">
        <f t="shared" si="2"/>
        <v>DDR4_HIF29</v>
      </c>
      <c r="F22" s="172" t="str">
        <f t="shared" si="2"/>
        <v>DDR4_HIF28</v>
      </c>
      <c r="G22" s="172" t="str">
        <f t="shared" si="2"/>
        <v>DDR4_HIF27</v>
      </c>
      <c r="H22" s="172" t="str">
        <f t="shared" si="2"/>
        <v>DDR4_HIF26</v>
      </c>
      <c r="I22" s="172" t="str">
        <f t="shared" si="2"/>
        <v>DDR4_HIF25</v>
      </c>
      <c r="J22" s="172" t="str">
        <f t="shared" si="2"/>
        <v>DDR4_HIF24</v>
      </c>
      <c r="K22" s="172" t="str">
        <f t="shared" si="2"/>
        <v>DDR4_HIF23</v>
      </c>
      <c r="L22" s="172" t="str">
        <f t="shared" si="2"/>
        <v>DDR4_HIF22</v>
      </c>
      <c r="M22" s="172" t="str">
        <f t="shared" si="2"/>
        <v>DDR4_HIF21</v>
      </c>
      <c r="N22" s="172" t="str">
        <f t="shared" si="2"/>
        <v>DDR4_HIF20</v>
      </c>
      <c r="O22" s="172" t="str">
        <f t="shared" si="2"/>
        <v>DDR4_HIF19</v>
      </c>
      <c r="P22" s="172" t="str">
        <f t="shared" si="2"/>
        <v>DDR4_HIF18</v>
      </c>
      <c r="Q22" s="172" t="str">
        <f t="shared" si="2"/>
        <v>DDR4_HIF17</v>
      </c>
      <c r="R22" s="172" t="str">
        <f t="shared" si="2"/>
        <v>DDR4_HIF16</v>
      </c>
      <c r="S22" s="172" t="str">
        <f t="shared" si="2"/>
        <v>DDR4_HIF15</v>
      </c>
      <c r="T22" s="172" t="str">
        <f t="shared" si="2"/>
        <v>DDR4_HIF14</v>
      </c>
      <c r="U22" s="172" t="str">
        <f t="shared" si="2"/>
        <v>DDR4_HIF13</v>
      </c>
      <c r="V22" s="172" t="str">
        <f t="shared" si="2"/>
        <v>DDR4_HIF12</v>
      </c>
      <c r="W22" s="172" t="str">
        <f t="shared" si="2"/>
        <v>DDR4_HIF11</v>
      </c>
      <c r="X22" s="172" t="str">
        <f t="shared" si="2"/>
        <v>DDR4_HIF10</v>
      </c>
      <c r="Y22" s="172" t="str">
        <f t="shared" si="2"/>
        <v>DDR4_HIF9</v>
      </c>
      <c r="Z22" s="172" t="str">
        <f t="shared" si="2"/>
        <v>DDR4_HIF8</v>
      </c>
      <c r="AA22" s="172" t="str">
        <f t="shared" si="2"/>
        <v>DDR4_HIF7</v>
      </c>
      <c r="AB22" s="172" t="str">
        <f t="shared" si="2"/>
        <v>DDR4_HIF6</v>
      </c>
      <c r="AC22" s="172" t="str">
        <f t="shared" si="2"/>
        <v>DDR4_HIF5</v>
      </c>
      <c r="AD22" s="172" t="str">
        <f t="shared" si="2"/>
        <v>DDR4_HIF4</v>
      </c>
      <c r="AE22" s="172" t="str">
        <f t="shared" si="2"/>
        <v>DDR4_HIF3</v>
      </c>
      <c r="AF22" s="172" t="str">
        <f t="shared" si="2"/>
        <v>DDR4_HIF2</v>
      </c>
      <c r="AI22" s="299"/>
    </row>
    <row r="23" spans="1:37" hidden="1">
      <c r="C23" s="172" t="s">
        <v>117</v>
      </c>
      <c r="D23" s="172" t="s">
        <v>117</v>
      </c>
      <c r="E23" s="172" t="s">
        <v>117</v>
      </c>
      <c r="F23" s="172" t="s">
        <v>117</v>
      </c>
      <c r="G23" s="172" t="s">
        <v>117</v>
      </c>
      <c r="H23" s="172" t="s">
        <v>117</v>
      </c>
      <c r="I23" s="172" t="s">
        <v>117</v>
      </c>
      <c r="J23" s="172" t="s">
        <v>117</v>
      </c>
      <c r="K23" s="172" t="s">
        <v>117</v>
      </c>
      <c r="L23" s="172" t="s">
        <v>117</v>
      </c>
      <c r="M23" s="172" t="s">
        <v>117</v>
      </c>
      <c r="N23" s="172" t="s">
        <v>117</v>
      </c>
      <c r="O23" s="172" t="s">
        <v>117</v>
      </c>
      <c r="P23" s="172" t="s">
        <v>117</v>
      </c>
      <c r="Q23" s="172" t="s">
        <v>117</v>
      </c>
      <c r="R23" s="172" t="s">
        <v>117</v>
      </c>
      <c r="S23" s="172" t="s">
        <v>117</v>
      </c>
      <c r="T23" s="172" t="s">
        <v>117</v>
      </c>
      <c r="U23" s="172" t="s">
        <v>117</v>
      </c>
      <c r="V23" s="172" t="s">
        <v>117</v>
      </c>
      <c r="W23" s="172" t="s">
        <v>117</v>
      </c>
      <c r="X23" s="172" t="s">
        <v>117</v>
      </c>
      <c r="Y23" s="172" t="s">
        <v>117</v>
      </c>
      <c r="Z23" s="172" t="s">
        <v>117</v>
      </c>
      <c r="AA23" s="172" t="s">
        <v>117</v>
      </c>
      <c r="AB23" s="172" t="s">
        <v>117</v>
      </c>
      <c r="AC23" s="172" t="s">
        <v>117</v>
      </c>
      <c r="AD23" s="172" t="s">
        <v>117</v>
      </c>
      <c r="AE23" s="172" t="s">
        <v>117</v>
      </c>
      <c r="AF23" s="172" t="s">
        <v>117</v>
      </c>
      <c r="AI23" s="299"/>
      <c r="AK23" s="228"/>
    </row>
    <row r="24" spans="1:37" hidden="1">
      <c r="A24" s="172" t="s">
        <v>1460</v>
      </c>
      <c r="C24" s="172" t="s">
        <v>926</v>
      </c>
      <c r="D24" s="172" t="s">
        <v>925</v>
      </c>
      <c r="E24" s="172" t="s">
        <v>924</v>
      </c>
      <c r="F24" s="172" t="s">
        <v>923</v>
      </c>
      <c r="G24" s="172" t="s">
        <v>922</v>
      </c>
      <c r="H24" s="172" t="s">
        <v>921</v>
      </c>
      <c r="I24" s="172" t="s">
        <v>920</v>
      </c>
      <c r="J24" s="172" t="s">
        <v>919</v>
      </c>
      <c r="K24" s="172" t="s">
        <v>918</v>
      </c>
      <c r="L24" s="172" t="s">
        <v>917</v>
      </c>
      <c r="M24" s="172" t="s">
        <v>916</v>
      </c>
      <c r="N24" s="172" t="s">
        <v>915</v>
      </c>
      <c r="O24" s="172" t="s">
        <v>914</v>
      </c>
      <c r="P24" s="172" t="s">
        <v>911</v>
      </c>
      <c r="Q24" s="172" t="s">
        <v>911</v>
      </c>
      <c r="R24" s="172" t="s">
        <v>909</v>
      </c>
      <c r="S24" s="172" t="s">
        <v>908</v>
      </c>
      <c r="T24" s="172" t="s">
        <v>907</v>
      </c>
      <c r="U24" s="172" t="s">
        <v>906</v>
      </c>
      <c r="V24" s="172" t="s">
        <v>905</v>
      </c>
      <c r="W24" s="172" t="s">
        <v>904</v>
      </c>
      <c r="X24" s="172" t="s">
        <v>903</v>
      </c>
      <c r="Y24" s="172" t="s">
        <v>902</v>
      </c>
      <c r="Z24" s="172" t="s">
        <v>902</v>
      </c>
      <c r="AA24" s="172" t="s">
        <v>902</v>
      </c>
      <c r="AB24" s="172" t="s">
        <v>902</v>
      </c>
      <c r="AC24" s="172" t="s">
        <v>902</v>
      </c>
      <c r="AD24" s="172" t="s">
        <v>902</v>
      </c>
      <c r="AE24" s="172" t="s">
        <v>902</v>
      </c>
      <c r="AF24" s="172" t="s">
        <v>902</v>
      </c>
      <c r="AI24" s="299"/>
      <c r="AK24" s="228"/>
    </row>
    <row r="25" spans="1:37" hidden="1">
      <c r="C25" s="172" t="s">
        <v>927</v>
      </c>
      <c r="D25" s="172" t="s">
        <v>926</v>
      </c>
      <c r="E25" s="172" t="s">
        <v>925</v>
      </c>
      <c r="F25" s="172" t="s">
        <v>924</v>
      </c>
      <c r="G25" s="172" t="s">
        <v>923</v>
      </c>
      <c r="H25" s="172" t="s">
        <v>922</v>
      </c>
      <c r="I25" s="172" t="s">
        <v>921</v>
      </c>
      <c r="J25" s="172" t="s">
        <v>920</v>
      </c>
      <c r="K25" s="172" t="s">
        <v>919</v>
      </c>
      <c r="L25" s="172" t="s">
        <v>918</v>
      </c>
      <c r="M25" s="172" t="s">
        <v>917</v>
      </c>
      <c r="N25" s="172" t="s">
        <v>916</v>
      </c>
      <c r="O25" s="172" t="s">
        <v>915</v>
      </c>
      <c r="P25" s="172" t="s">
        <v>913</v>
      </c>
      <c r="Q25" s="172" t="s">
        <v>912</v>
      </c>
      <c r="R25" s="172" t="s">
        <v>911</v>
      </c>
      <c r="S25" s="172" t="s">
        <v>909</v>
      </c>
      <c r="T25" s="172" t="s">
        <v>908</v>
      </c>
      <c r="U25" s="172" t="s">
        <v>907</v>
      </c>
      <c r="V25" s="172" t="s">
        <v>906</v>
      </c>
      <c r="W25" s="172" t="s">
        <v>905</v>
      </c>
      <c r="X25" s="172" t="s">
        <v>904</v>
      </c>
      <c r="Y25" s="172" t="s">
        <v>903</v>
      </c>
      <c r="Z25" s="172" t="s">
        <v>903</v>
      </c>
      <c r="AA25" s="172" t="s">
        <v>903</v>
      </c>
      <c r="AB25" s="172" t="s">
        <v>903</v>
      </c>
      <c r="AC25" s="172" t="s">
        <v>903</v>
      </c>
      <c r="AD25" s="172" t="s">
        <v>903</v>
      </c>
      <c r="AE25" s="172" t="s">
        <v>903</v>
      </c>
      <c r="AF25" s="172" t="s">
        <v>930</v>
      </c>
      <c r="AI25" s="299"/>
      <c r="AK25" s="228"/>
    </row>
    <row r="26" spans="1:37" hidden="1">
      <c r="C26" s="172" t="s">
        <v>928</v>
      </c>
      <c r="D26" s="172" t="s">
        <v>927</v>
      </c>
      <c r="E26" s="172" t="s">
        <v>926</v>
      </c>
      <c r="F26" s="172" t="s">
        <v>925</v>
      </c>
      <c r="G26" s="172" t="s">
        <v>924</v>
      </c>
      <c r="H26" s="172" t="s">
        <v>923</v>
      </c>
      <c r="I26" s="172" t="s">
        <v>922</v>
      </c>
      <c r="J26" s="172" t="s">
        <v>921</v>
      </c>
      <c r="K26" s="172" t="s">
        <v>920</v>
      </c>
      <c r="L26" s="172" t="s">
        <v>919</v>
      </c>
      <c r="M26" s="172" t="s">
        <v>918</v>
      </c>
      <c r="N26" s="172" t="s">
        <v>917</v>
      </c>
      <c r="O26" s="172" t="s">
        <v>916</v>
      </c>
      <c r="P26" s="172" t="s">
        <v>914</v>
      </c>
      <c r="Q26" s="172" t="s">
        <v>913</v>
      </c>
      <c r="R26" s="172" t="s">
        <v>912</v>
      </c>
      <c r="S26" s="172" t="s">
        <v>911</v>
      </c>
      <c r="T26" s="172" t="s">
        <v>909</v>
      </c>
      <c r="U26" s="172" t="s">
        <v>908</v>
      </c>
      <c r="V26" s="172" t="s">
        <v>907</v>
      </c>
      <c r="W26" s="172" t="s">
        <v>906</v>
      </c>
      <c r="X26" s="172" t="s">
        <v>905</v>
      </c>
      <c r="Y26" s="172" t="s">
        <v>904</v>
      </c>
      <c r="Z26" s="172" t="s">
        <v>904</v>
      </c>
      <c r="AA26" s="172" t="s">
        <v>904</v>
      </c>
      <c r="AB26" s="172" t="s">
        <v>904</v>
      </c>
      <c r="AC26" s="172" t="s">
        <v>904</v>
      </c>
      <c r="AD26" s="172" t="s">
        <v>904</v>
      </c>
      <c r="AE26" s="172" t="s">
        <v>930</v>
      </c>
      <c r="AF26" s="172" t="s">
        <v>712</v>
      </c>
      <c r="AI26" s="299"/>
      <c r="AK26" s="228"/>
    </row>
    <row r="27" spans="1:37" hidden="1">
      <c r="C27" s="172" t="s">
        <v>929</v>
      </c>
      <c r="D27" s="172" t="s">
        <v>928</v>
      </c>
      <c r="E27" s="172" t="s">
        <v>927</v>
      </c>
      <c r="F27" s="172" t="s">
        <v>926</v>
      </c>
      <c r="G27" s="172" t="s">
        <v>925</v>
      </c>
      <c r="H27" s="172" t="s">
        <v>924</v>
      </c>
      <c r="I27" s="172" t="s">
        <v>923</v>
      </c>
      <c r="J27" s="172" t="s">
        <v>922</v>
      </c>
      <c r="K27" s="172" t="s">
        <v>921</v>
      </c>
      <c r="L27" s="172" t="s">
        <v>920</v>
      </c>
      <c r="M27" s="172" t="s">
        <v>919</v>
      </c>
      <c r="N27" s="172" t="s">
        <v>918</v>
      </c>
      <c r="O27" s="172" t="s">
        <v>917</v>
      </c>
      <c r="P27" s="172" t="s">
        <v>915</v>
      </c>
      <c r="Q27" s="172" t="s">
        <v>914</v>
      </c>
      <c r="R27" s="172" t="s">
        <v>913</v>
      </c>
      <c r="S27" s="172" t="s">
        <v>912</v>
      </c>
      <c r="T27" s="172" t="s">
        <v>911</v>
      </c>
      <c r="U27" s="172" t="s">
        <v>909</v>
      </c>
      <c r="V27" s="172" t="s">
        <v>908</v>
      </c>
      <c r="W27" s="172" t="s">
        <v>907</v>
      </c>
      <c r="X27" s="172" t="s">
        <v>906</v>
      </c>
      <c r="Y27" s="172" t="s">
        <v>905</v>
      </c>
      <c r="Z27" s="172" t="s">
        <v>905</v>
      </c>
      <c r="AA27" s="172" t="s">
        <v>905</v>
      </c>
      <c r="AB27" s="172" t="s">
        <v>905</v>
      </c>
      <c r="AC27" s="172" t="s">
        <v>905</v>
      </c>
      <c r="AD27" s="172" t="s">
        <v>930</v>
      </c>
      <c r="AE27" s="172" t="s">
        <v>931</v>
      </c>
      <c r="AI27" s="299"/>
      <c r="AK27" s="228"/>
    </row>
    <row r="28" spans="1:37" hidden="1">
      <c r="C28" s="172" t="s">
        <v>930</v>
      </c>
      <c r="D28" s="172" t="s">
        <v>929</v>
      </c>
      <c r="E28" s="172" t="s">
        <v>928</v>
      </c>
      <c r="F28" s="172" t="s">
        <v>927</v>
      </c>
      <c r="G28" s="172" t="s">
        <v>926</v>
      </c>
      <c r="H28" s="172" t="s">
        <v>925</v>
      </c>
      <c r="I28" s="172" t="s">
        <v>924</v>
      </c>
      <c r="J28" s="172" t="s">
        <v>923</v>
      </c>
      <c r="K28" s="172" t="s">
        <v>922</v>
      </c>
      <c r="L28" s="172" t="s">
        <v>921</v>
      </c>
      <c r="M28" s="172" t="s">
        <v>920</v>
      </c>
      <c r="N28" s="172" t="s">
        <v>919</v>
      </c>
      <c r="O28" s="172" t="s">
        <v>918</v>
      </c>
      <c r="P28" s="172" t="s">
        <v>916</v>
      </c>
      <c r="Q28" s="172" t="s">
        <v>915</v>
      </c>
      <c r="R28" s="172" t="s">
        <v>914</v>
      </c>
      <c r="S28" s="172" t="s">
        <v>913</v>
      </c>
      <c r="T28" s="172" t="s">
        <v>912</v>
      </c>
      <c r="U28" s="172" t="s">
        <v>911</v>
      </c>
      <c r="V28" s="172" t="s">
        <v>909</v>
      </c>
      <c r="W28" s="172" t="s">
        <v>908</v>
      </c>
      <c r="X28" s="172" t="s">
        <v>907</v>
      </c>
      <c r="Y28" s="172" t="s">
        <v>906</v>
      </c>
      <c r="Z28" s="172" t="s">
        <v>906</v>
      </c>
      <c r="AA28" s="172" t="s">
        <v>906</v>
      </c>
      <c r="AB28" s="172" t="s">
        <v>906</v>
      </c>
      <c r="AC28" s="172" t="s">
        <v>930</v>
      </c>
      <c r="AD28" s="172" t="s">
        <v>931</v>
      </c>
      <c r="AE28" s="172" t="s">
        <v>712</v>
      </c>
      <c r="AI28" s="299"/>
      <c r="AK28" s="228"/>
    </row>
    <row r="29" spans="1:37" hidden="1">
      <c r="C29" s="172" t="s">
        <v>931</v>
      </c>
      <c r="D29" s="172" t="s">
        <v>930</v>
      </c>
      <c r="E29" s="172" t="s">
        <v>929</v>
      </c>
      <c r="F29" s="172" t="s">
        <v>928</v>
      </c>
      <c r="G29" s="172" t="s">
        <v>927</v>
      </c>
      <c r="H29" s="172" t="s">
        <v>926</v>
      </c>
      <c r="I29" s="172" t="s">
        <v>925</v>
      </c>
      <c r="J29" s="172" t="s">
        <v>924</v>
      </c>
      <c r="K29" s="172" t="s">
        <v>923</v>
      </c>
      <c r="L29" s="172" t="s">
        <v>922</v>
      </c>
      <c r="M29" s="172" t="s">
        <v>921</v>
      </c>
      <c r="N29" s="172" t="s">
        <v>920</v>
      </c>
      <c r="O29" s="172" t="s">
        <v>919</v>
      </c>
      <c r="P29" s="172" t="s">
        <v>917</v>
      </c>
      <c r="Q29" s="172" t="s">
        <v>916</v>
      </c>
      <c r="R29" s="172" t="s">
        <v>915</v>
      </c>
      <c r="S29" s="172" t="s">
        <v>914</v>
      </c>
      <c r="T29" s="172" t="s">
        <v>913</v>
      </c>
      <c r="U29" s="172" t="s">
        <v>912</v>
      </c>
      <c r="V29" s="172" t="s">
        <v>911</v>
      </c>
      <c r="W29" s="172" t="s">
        <v>909</v>
      </c>
      <c r="X29" s="172" t="s">
        <v>908</v>
      </c>
      <c r="Y29" s="172" t="s">
        <v>907</v>
      </c>
      <c r="Z29" s="172" t="s">
        <v>907</v>
      </c>
      <c r="AA29" s="172" t="s">
        <v>907</v>
      </c>
      <c r="AB29" s="172" t="s">
        <v>912</v>
      </c>
      <c r="AC29" s="172" t="s">
        <v>931</v>
      </c>
      <c r="AD29" s="172" t="s">
        <v>712</v>
      </c>
      <c r="AE29" s="172" t="s">
        <v>713</v>
      </c>
      <c r="AI29" s="299"/>
      <c r="AK29" s="228"/>
    </row>
    <row r="30" spans="1:37" hidden="1">
      <c r="C30" s="172" t="s">
        <v>712</v>
      </c>
      <c r="D30" s="172" t="s">
        <v>931</v>
      </c>
      <c r="E30" s="172" t="s">
        <v>930</v>
      </c>
      <c r="F30" s="172" t="s">
        <v>929</v>
      </c>
      <c r="G30" s="172" t="s">
        <v>928</v>
      </c>
      <c r="H30" s="172" t="s">
        <v>927</v>
      </c>
      <c r="I30" s="172" t="s">
        <v>926</v>
      </c>
      <c r="J30" s="172" t="s">
        <v>925</v>
      </c>
      <c r="K30" s="172" t="s">
        <v>924</v>
      </c>
      <c r="L30" s="172" t="s">
        <v>923</v>
      </c>
      <c r="M30" s="172" t="s">
        <v>922</v>
      </c>
      <c r="N30" s="172" t="s">
        <v>921</v>
      </c>
      <c r="O30" s="172" t="s">
        <v>920</v>
      </c>
      <c r="P30" s="172" t="s">
        <v>918</v>
      </c>
      <c r="Q30" s="172" t="s">
        <v>917</v>
      </c>
      <c r="R30" s="172" t="s">
        <v>916</v>
      </c>
      <c r="S30" s="172" t="s">
        <v>915</v>
      </c>
      <c r="T30" s="172" t="s">
        <v>914</v>
      </c>
      <c r="U30" s="172" t="s">
        <v>913</v>
      </c>
      <c r="V30" s="172" t="s">
        <v>912</v>
      </c>
      <c r="W30" s="172" t="s">
        <v>911</v>
      </c>
      <c r="X30" s="172" t="s">
        <v>909</v>
      </c>
      <c r="Y30" s="172" t="s">
        <v>908</v>
      </c>
      <c r="Z30" s="172" t="s">
        <v>908</v>
      </c>
      <c r="AA30" s="172" t="s">
        <v>912</v>
      </c>
      <c r="AB30" s="172" t="s">
        <v>930</v>
      </c>
      <c r="AC30" s="172" t="s">
        <v>712</v>
      </c>
      <c r="AD30" s="172" t="s">
        <v>713</v>
      </c>
      <c r="AI30" s="299"/>
      <c r="AK30" s="228"/>
    </row>
    <row r="31" spans="1:37" hidden="1">
      <c r="C31" s="172" t="s">
        <v>713</v>
      </c>
      <c r="D31" s="172" t="s">
        <v>712</v>
      </c>
      <c r="E31" s="172" t="s">
        <v>931</v>
      </c>
      <c r="F31" s="172" t="s">
        <v>930</v>
      </c>
      <c r="G31" s="172" t="s">
        <v>929</v>
      </c>
      <c r="H31" s="172" t="s">
        <v>928</v>
      </c>
      <c r="I31" s="172" t="s">
        <v>927</v>
      </c>
      <c r="J31" s="172" t="s">
        <v>926</v>
      </c>
      <c r="K31" s="172" t="s">
        <v>925</v>
      </c>
      <c r="L31" s="172" t="s">
        <v>924</v>
      </c>
      <c r="M31" s="172" t="s">
        <v>923</v>
      </c>
      <c r="N31" s="172" t="s">
        <v>922</v>
      </c>
      <c r="O31" s="172" t="s">
        <v>921</v>
      </c>
      <c r="P31" s="172" t="s">
        <v>919</v>
      </c>
      <c r="Q31" s="172" t="s">
        <v>918</v>
      </c>
      <c r="R31" s="172" t="s">
        <v>917</v>
      </c>
      <c r="S31" s="172" t="s">
        <v>916</v>
      </c>
      <c r="T31" s="172" t="s">
        <v>915</v>
      </c>
      <c r="U31" s="172" t="s">
        <v>914</v>
      </c>
      <c r="V31" s="172" t="s">
        <v>913</v>
      </c>
      <c r="W31" s="172" t="s">
        <v>912</v>
      </c>
      <c r="X31" s="172" t="s">
        <v>912</v>
      </c>
      <c r="Y31" s="172" t="s">
        <v>909</v>
      </c>
      <c r="Z31" s="172" t="s">
        <v>912</v>
      </c>
      <c r="AA31" s="172" t="s">
        <v>913</v>
      </c>
      <c r="AB31" s="172" t="s">
        <v>931</v>
      </c>
      <c r="AC31" s="172" t="s">
        <v>713</v>
      </c>
      <c r="AI31" s="299"/>
      <c r="AK31" s="228"/>
    </row>
    <row r="32" spans="1:37" hidden="1">
      <c r="C32" s="172" t="s">
        <v>933</v>
      </c>
      <c r="D32" s="172" t="s">
        <v>713</v>
      </c>
      <c r="E32" s="172" t="s">
        <v>712</v>
      </c>
      <c r="F32" s="172" t="s">
        <v>931</v>
      </c>
      <c r="G32" s="172" t="s">
        <v>930</v>
      </c>
      <c r="H32" s="172" t="s">
        <v>929</v>
      </c>
      <c r="I32" s="172" t="s">
        <v>928</v>
      </c>
      <c r="J32" s="172" t="s">
        <v>927</v>
      </c>
      <c r="K32" s="172" t="s">
        <v>926</v>
      </c>
      <c r="L32" s="172" t="s">
        <v>925</v>
      </c>
      <c r="M32" s="172" t="s">
        <v>924</v>
      </c>
      <c r="N32" s="172" t="s">
        <v>923</v>
      </c>
      <c r="O32" s="172" t="s">
        <v>922</v>
      </c>
      <c r="P32" s="172" t="s">
        <v>920</v>
      </c>
      <c r="Q32" s="172" t="s">
        <v>919</v>
      </c>
      <c r="R32" s="172" t="s">
        <v>918</v>
      </c>
      <c r="S32" s="172" t="s">
        <v>917</v>
      </c>
      <c r="T32" s="172" t="s">
        <v>916</v>
      </c>
      <c r="U32" s="172" t="s">
        <v>915</v>
      </c>
      <c r="V32" s="172" t="s">
        <v>914</v>
      </c>
      <c r="W32" s="172" t="s">
        <v>913</v>
      </c>
      <c r="X32" s="172" t="s">
        <v>913</v>
      </c>
      <c r="Y32" s="172" t="s">
        <v>912</v>
      </c>
      <c r="Z32" s="172" t="s">
        <v>913</v>
      </c>
      <c r="AA32" s="172" t="s">
        <v>930</v>
      </c>
      <c r="AB32" s="172" t="s">
        <v>712</v>
      </c>
      <c r="AI32" s="299"/>
      <c r="AK32" s="228"/>
    </row>
    <row r="33" spans="1:37" hidden="1">
      <c r="C33" s="172" t="s">
        <v>969</v>
      </c>
      <c r="D33" s="172" t="s">
        <v>933</v>
      </c>
      <c r="E33" s="172" t="s">
        <v>713</v>
      </c>
      <c r="F33" s="172" t="s">
        <v>712</v>
      </c>
      <c r="G33" s="172" t="s">
        <v>931</v>
      </c>
      <c r="H33" s="172" t="s">
        <v>930</v>
      </c>
      <c r="I33" s="172" t="s">
        <v>929</v>
      </c>
      <c r="J33" s="172" t="s">
        <v>928</v>
      </c>
      <c r="K33" s="172" t="s">
        <v>927</v>
      </c>
      <c r="L33" s="172" t="s">
        <v>926</v>
      </c>
      <c r="M33" s="172" t="s">
        <v>925</v>
      </c>
      <c r="N33" s="172" t="s">
        <v>924</v>
      </c>
      <c r="O33" s="172" t="s">
        <v>923</v>
      </c>
      <c r="P33" s="172" t="s">
        <v>921</v>
      </c>
      <c r="Q33" s="172" t="s">
        <v>920</v>
      </c>
      <c r="R33" s="172" t="s">
        <v>919</v>
      </c>
      <c r="S33" s="172" t="s">
        <v>918</v>
      </c>
      <c r="T33" s="172" t="s">
        <v>917</v>
      </c>
      <c r="U33" s="172" t="s">
        <v>916</v>
      </c>
      <c r="V33" s="172" t="s">
        <v>915</v>
      </c>
      <c r="W33" s="172" t="s">
        <v>914</v>
      </c>
      <c r="X33" s="172" t="s">
        <v>914</v>
      </c>
      <c r="Y33" s="172" t="s">
        <v>913</v>
      </c>
      <c r="Z33" s="172" t="s">
        <v>914</v>
      </c>
      <c r="AA33" s="172" t="s">
        <v>931</v>
      </c>
      <c r="AB33" s="172" t="s">
        <v>713</v>
      </c>
      <c r="AI33" s="299"/>
      <c r="AK33" s="228"/>
    </row>
    <row r="34" spans="1:37" hidden="1">
      <c r="D34" s="172" t="s">
        <v>969</v>
      </c>
      <c r="E34" s="172" t="s">
        <v>933</v>
      </c>
      <c r="F34" s="172" t="s">
        <v>713</v>
      </c>
      <c r="G34" s="172" t="s">
        <v>712</v>
      </c>
      <c r="H34" s="172" t="s">
        <v>931</v>
      </c>
      <c r="I34" s="172" t="s">
        <v>930</v>
      </c>
      <c r="J34" s="172" t="s">
        <v>929</v>
      </c>
      <c r="K34" s="172" t="s">
        <v>928</v>
      </c>
      <c r="L34" s="172" t="s">
        <v>927</v>
      </c>
      <c r="M34" s="172" t="s">
        <v>926</v>
      </c>
      <c r="N34" s="172" t="s">
        <v>925</v>
      </c>
      <c r="O34" s="172" t="s">
        <v>924</v>
      </c>
      <c r="P34" s="172" t="s">
        <v>922</v>
      </c>
      <c r="Q34" s="172" t="s">
        <v>921</v>
      </c>
      <c r="R34" s="172" t="s">
        <v>920</v>
      </c>
      <c r="S34" s="172" t="s">
        <v>919</v>
      </c>
      <c r="T34" s="172" t="s">
        <v>918</v>
      </c>
      <c r="U34" s="172" t="s">
        <v>917</v>
      </c>
      <c r="V34" s="172" t="s">
        <v>916</v>
      </c>
      <c r="W34" s="172" t="s">
        <v>915</v>
      </c>
      <c r="X34" s="172" t="s">
        <v>915</v>
      </c>
      <c r="Y34" s="172" t="s">
        <v>914</v>
      </c>
      <c r="Z34" s="172" t="s">
        <v>930</v>
      </c>
      <c r="AA34" s="172" t="s">
        <v>712</v>
      </c>
      <c r="AB34" s="172" t="s">
        <v>933</v>
      </c>
      <c r="AI34" s="299"/>
      <c r="AK34" s="228"/>
    </row>
    <row r="35" spans="1:37" hidden="1">
      <c r="E35" s="172" t="s">
        <v>969</v>
      </c>
      <c r="F35" s="172" t="s">
        <v>933</v>
      </c>
      <c r="G35" s="172" t="s">
        <v>713</v>
      </c>
      <c r="H35" s="172" t="s">
        <v>712</v>
      </c>
      <c r="I35" s="172" t="s">
        <v>931</v>
      </c>
      <c r="J35" s="172" t="s">
        <v>930</v>
      </c>
      <c r="K35" s="172" t="s">
        <v>929</v>
      </c>
      <c r="L35" s="172" t="s">
        <v>928</v>
      </c>
      <c r="M35" s="172" t="s">
        <v>927</v>
      </c>
      <c r="N35" s="172" t="s">
        <v>926</v>
      </c>
      <c r="O35" s="172" t="s">
        <v>925</v>
      </c>
      <c r="P35" s="172" t="s">
        <v>923</v>
      </c>
      <c r="Q35" s="172" t="s">
        <v>922</v>
      </c>
      <c r="R35" s="172" t="s">
        <v>921</v>
      </c>
      <c r="S35" s="172" t="s">
        <v>920</v>
      </c>
      <c r="T35" s="172" t="s">
        <v>919</v>
      </c>
      <c r="U35" s="172" t="s">
        <v>918</v>
      </c>
      <c r="V35" s="172" t="s">
        <v>917</v>
      </c>
      <c r="W35" s="172" t="s">
        <v>916</v>
      </c>
      <c r="X35" s="172" t="s">
        <v>916</v>
      </c>
      <c r="Y35" s="172" t="s">
        <v>915</v>
      </c>
      <c r="Z35" s="172" t="s">
        <v>931</v>
      </c>
      <c r="AA35" s="172" t="s">
        <v>713</v>
      </c>
      <c r="AI35" s="299"/>
      <c r="AK35" s="228"/>
    </row>
    <row r="36" spans="1:37" hidden="1">
      <c r="E36" s="172"/>
      <c r="F36" s="172" t="s">
        <v>969</v>
      </c>
      <c r="G36" s="172" t="s">
        <v>933</v>
      </c>
      <c r="H36" s="172" t="s">
        <v>713</v>
      </c>
      <c r="I36" s="172" t="s">
        <v>712</v>
      </c>
      <c r="J36" s="172" t="s">
        <v>931</v>
      </c>
      <c r="K36" s="172" t="s">
        <v>930</v>
      </c>
      <c r="L36" s="172" t="s">
        <v>930</v>
      </c>
      <c r="M36" s="172" t="s">
        <v>930</v>
      </c>
      <c r="N36" s="172" t="s">
        <v>930</v>
      </c>
      <c r="O36" s="172" t="s">
        <v>930</v>
      </c>
      <c r="P36" s="172" t="s">
        <v>924</v>
      </c>
      <c r="Q36" s="172" t="s">
        <v>923</v>
      </c>
      <c r="R36" s="172" t="s">
        <v>922</v>
      </c>
      <c r="S36" s="172" t="s">
        <v>921</v>
      </c>
      <c r="T36" s="172" t="s">
        <v>920</v>
      </c>
      <c r="U36" s="172" t="s">
        <v>919</v>
      </c>
      <c r="V36" s="172" t="s">
        <v>918</v>
      </c>
      <c r="W36" s="172" t="s">
        <v>917</v>
      </c>
      <c r="X36" s="172" t="s">
        <v>930</v>
      </c>
      <c r="Y36" s="172" t="s">
        <v>930</v>
      </c>
      <c r="Z36" s="172" t="s">
        <v>712</v>
      </c>
      <c r="AA36" s="172" t="s">
        <v>933</v>
      </c>
      <c r="AI36" s="299"/>
      <c r="AK36" s="228"/>
    </row>
    <row r="37" spans="1:37" hidden="1">
      <c r="E37" s="172"/>
      <c r="G37" s="172" t="s">
        <v>969</v>
      </c>
      <c r="H37" s="172" t="s">
        <v>933</v>
      </c>
      <c r="I37" s="172" t="s">
        <v>713</v>
      </c>
      <c r="J37" s="172" t="s">
        <v>712</v>
      </c>
      <c r="K37" s="172" t="s">
        <v>931</v>
      </c>
      <c r="L37" s="172" t="s">
        <v>931</v>
      </c>
      <c r="M37" s="172" t="s">
        <v>931</v>
      </c>
      <c r="N37" s="172" t="s">
        <v>931</v>
      </c>
      <c r="O37" s="172" t="s">
        <v>931</v>
      </c>
      <c r="P37" s="172" t="s">
        <v>930</v>
      </c>
      <c r="Q37" s="172" t="s">
        <v>930</v>
      </c>
      <c r="R37" s="172" t="s">
        <v>930</v>
      </c>
      <c r="S37" s="172" t="s">
        <v>930</v>
      </c>
      <c r="T37" s="172" t="s">
        <v>930</v>
      </c>
      <c r="U37" s="172" t="s">
        <v>930</v>
      </c>
      <c r="V37" s="172" t="s">
        <v>930</v>
      </c>
      <c r="W37" s="172" t="s">
        <v>930</v>
      </c>
      <c r="X37" s="172" t="s">
        <v>931</v>
      </c>
      <c r="Y37" s="172" t="s">
        <v>931</v>
      </c>
      <c r="Z37" s="172" t="s">
        <v>713</v>
      </c>
      <c r="AA37" s="172" t="s">
        <v>969</v>
      </c>
      <c r="AI37" s="299"/>
      <c r="AK37" s="228"/>
    </row>
    <row r="38" spans="1:37" hidden="1">
      <c r="E38" s="172"/>
      <c r="H38" s="172" t="s">
        <v>969</v>
      </c>
      <c r="I38" s="172" t="s">
        <v>933</v>
      </c>
      <c r="J38" s="172" t="s">
        <v>713</v>
      </c>
      <c r="K38" s="172" t="s">
        <v>712</v>
      </c>
      <c r="L38" s="172" t="s">
        <v>712</v>
      </c>
      <c r="M38" s="172" t="s">
        <v>712</v>
      </c>
      <c r="N38" s="172" t="s">
        <v>712</v>
      </c>
      <c r="O38" s="172" t="s">
        <v>712</v>
      </c>
      <c r="P38" s="172" t="s">
        <v>931</v>
      </c>
      <c r="Q38" s="172" t="s">
        <v>931</v>
      </c>
      <c r="R38" s="172" t="s">
        <v>931</v>
      </c>
      <c r="S38" s="172" t="s">
        <v>931</v>
      </c>
      <c r="T38" s="172" t="s">
        <v>931</v>
      </c>
      <c r="U38" s="172" t="s">
        <v>931</v>
      </c>
      <c r="V38" s="172" t="s">
        <v>931</v>
      </c>
      <c r="W38" s="172" t="s">
        <v>931</v>
      </c>
      <c r="X38" s="172" t="s">
        <v>712</v>
      </c>
      <c r="Y38" s="172" t="s">
        <v>712</v>
      </c>
      <c r="Z38" s="172" t="s">
        <v>933</v>
      </c>
      <c r="AI38" s="299"/>
      <c r="AK38" s="228"/>
    </row>
    <row r="39" spans="1:37" hidden="1">
      <c r="E39" s="172"/>
      <c r="I39" s="172" t="s">
        <v>969</v>
      </c>
      <c r="J39" s="172" t="s">
        <v>933</v>
      </c>
      <c r="K39" s="172" t="s">
        <v>713</v>
      </c>
      <c r="L39" s="172" t="s">
        <v>713</v>
      </c>
      <c r="M39" s="172" t="s">
        <v>713</v>
      </c>
      <c r="N39" s="172" t="s">
        <v>713</v>
      </c>
      <c r="O39" s="172" t="s">
        <v>713</v>
      </c>
      <c r="P39" s="172" t="s">
        <v>712</v>
      </c>
      <c r="Q39" s="172" t="s">
        <v>712</v>
      </c>
      <c r="R39" s="172" t="s">
        <v>712</v>
      </c>
      <c r="S39" s="172" t="s">
        <v>712</v>
      </c>
      <c r="T39" s="172" t="s">
        <v>712</v>
      </c>
      <c r="U39" s="172" t="s">
        <v>712</v>
      </c>
      <c r="V39" s="172" t="s">
        <v>712</v>
      </c>
      <c r="W39" s="172" t="s">
        <v>712</v>
      </c>
      <c r="X39" s="172" t="s">
        <v>713</v>
      </c>
      <c r="Y39" s="172" t="s">
        <v>713</v>
      </c>
      <c r="Z39" s="172" t="s">
        <v>969</v>
      </c>
      <c r="AI39" s="299"/>
      <c r="AK39" s="228"/>
    </row>
    <row r="40" spans="1:37" hidden="1">
      <c r="E40" s="172"/>
      <c r="J40" s="172" t="s">
        <v>969</v>
      </c>
      <c r="K40" s="172" t="s">
        <v>933</v>
      </c>
      <c r="L40" s="172" t="s">
        <v>933</v>
      </c>
      <c r="M40" s="172" t="s">
        <v>933</v>
      </c>
      <c r="N40" s="172" t="s">
        <v>933</v>
      </c>
      <c r="O40" s="172" t="s">
        <v>933</v>
      </c>
      <c r="P40" s="172" t="s">
        <v>713</v>
      </c>
      <c r="Q40" s="172" t="s">
        <v>713</v>
      </c>
      <c r="R40" s="172" t="s">
        <v>713</v>
      </c>
      <c r="S40" s="172" t="s">
        <v>713</v>
      </c>
      <c r="T40" s="172" t="s">
        <v>713</v>
      </c>
      <c r="U40" s="172" t="s">
        <v>713</v>
      </c>
      <c r="V40" s="172" t="s">
        <v>713</v>
      </c>
      <c r="W40" s="172" t="s">
        <v>713</v>
      </c>
      <c r="X40" s="172" t="s">
        <v>933</v>
      </c>
      <c r="Y40" s="172" t="s">
        <v>933</v>
      </c>
      <c r="AI40" s="299"/>
      <c r="AK40" s="228"/>
    </row>
    <row r="41" spans="1:37" hidden="1">
      <c r="E41" s="172"/>
      <c r="K41" s="172" t="s">
        <v>969</v>
      </c>
      <c r="L41" s="172" t="s">
        <v>969</v>
      </c>
      <c r="M41" s="172" t="s">
        <v>969</v>
      </c>
      <c r="N41" s="172" t="s">
        <v>969</v>
      </c>
      <c r="O41" s="172" t="s">
        <v>969</v>
      </c>
      <c r="P41" s="172" t="s">
        <v>933</v>
      </c>
      <c r="Q41" s="172" t="s">
        <v>933</v>
      </c>
      <c r="R41" s="172" t="s">
        <v>933</v>
      </c>
      <c r="S41" s="172" t="s">
        <v>933</v>
      </c>
      <c r="T41" s="172" t="s">
        <v>933</v>
      </c>
      <c r="U41" s="172" t="s">
        <v>933</v>
      </c>
      <c r="V41" s="172" t="s">
        <v>933</v>
      </c>
      <c r="W41" s="172" t="s">
        <v>933</v>
      </c>
      <c r="X41" s="172" t="s">
        <v>969</v>
      </c>
      <c r="Y41" s="172" t="s">
        <v>969</v>
      </c>
      <c r="AI41" s="299"/>
      <c r="AK41" s="228"/>
    </row>
    <row r="42" spans="1:37" hidden="1">
      <c r="E42" s="172"/>
      <c r="P42" s="172" t="s">
        <v>969</v>
      </c>
      <c r="Q42" s="172" t="s">
        <v>969</v>
      </c>
      <c r="R42" s="172" t="s">
        <v>969</v>
      </c>
      <c r="S42" s="172" t="s">
        <v>969</v>
      </c>
      <c r="T42" s="172" t="s">
        <v>969</v>
      </c>
      <c r="U42" s="172" t="s">
        <v>969</v>
      </c>
      <c r="V42" s="172" t="s">
        <v>969</v>
      </c>
      <c r="W42" s="172" t="s">
        <v>969</v>
      </c>
      <c r="AI42" s="299"/>
      <c r="AK42" s="228"/>
    </row>
    <row r="43" spans="1:37" hidden="1">
      <c r="E43" s="172"/>
      <c r="AI43" s="299"/>
      <c r="AK43" s="228"/>
    </row>
    <row r="44" spans="1:37" hidden="1">
      <c r="E44" s="172"/>
      <c r="AI44" s="299"/>
      <c r="AK44" s="228"/>
    </row>
    <row r="45" spans="1:37" hidden="1">
      <c r="E45" s="172"/>
      <c r="AI45" s="299"/>
      <c r="AK45" s="228"/>
    </row>
    <row r="46" spans="1:37" hidden="1">
      <c r="C46" s="172" t="str">
        <f t="shared" ref="C46:AF46" si="3">CONCATENATE("LPDDR4_HIF",C12)</f>
        <v>LPDDR4_HIF31</v>
      </c>
      <c r="D46" s="172" t="str">
        <f t="shared" si="3"/>
        <v>LPDDR4_HIF30</v>
      </c>
      <c r="E46" s="172" t="str">
        <f t="shared" si="3"/>
        <v>LPDDR4_HIF29</v>
      </c>
      <c r="F46" s="172" t="str">
        <f t="shared" si="3"/>
        <v>LPDDR4_HIF28</v>
      </c>
      <c r="G46" s="172" t="str">
        <f t="shared" si="3"/>
        <v>LPDDR4_HIF27</v>
      </c>
      <c r="H46" s="172" t="str">
        <f t="shared" si="3"/>
        <v>LPDDR4_HIF26</v>
      </c>
      <c r="I46" s="172" t="str">
        <f t="shared" si="3"/>
        <v>LPDDR4_HIF25</v>
      </c>
      <c r="J46" s="172" t="str">
        <f t="shared" si="3"/>
        <v>LPDDR4_HIF24</v>
      </c>
      <c r="K46" s="172" t="str">
        <f t="shared" si="3"/>
        <v>LPDDR4_HIF23</v>
      </c>
      <c r="L46" s="172" t="str">
        <f t="shared" si="3"/>
        <v>LPDDR4_HIF22</v>
      </c>
      <c r="M46" s="172" t="str">
        <f t="shared" si="3"/>
        <v>LPDDR4_HIF21</v>
      </c>
      <c r="N46" s="172" t="str">
        <f t="shared" si="3"/>
        <v>LPDDR4_HIF20</v>
      </c>
      <c r="O46" s="172" t="str">
        <f t="shared" si="3"/>
        <v>LPDDR4_HIF19</v>
      </c>
      <c r="P46" s="172" t="str">
        <f t="shared" si="3"/>
        <v>LPDDR4_HIF18</v>
      </c>
      <c r="Q46" s="172" t="str">
        <f t="shared" si="3"/>
        <v>LPDDR4_HIF17</v>
      </c>
      <c r="R46" s="172" t="str">
        <f t="shared" si="3"/>
        <v>LPDDR4_HIF16</v>
      </c>
      <c r="S46" s="172" t="str">
        <f t="shared" si="3"/>
        <v>LPDDR4_HIF15</v>
      </c>
      <c r="T46" s="172" t="str">
        <f t="shared" si="3"/>
        <v>LPDDR4_HIF14</v>
      </c>
      <c r="U46" s="172" t="str">
        <f t="shared" si="3"/>
        <v>LPDDR4_HIF13</v>
      </c>
      <c r="V46" s="172" t="str">
        <f t="shared" si="3"/>
        <v>LPDDR4_HIF12</v>
      </c>
      <c r="W46" s="172" t="str">
        <f t="shared" si="3"/>
        <v>LPDDR4_HIF11</v>
      </c>
      <c r="X46" s="172" t="str">
        <f t="shared" si="3"/>
        <v>LPDDR4_HIF10</v>
      </c>
      <c r="Y46" s="172" t="str">
        <f t="shared" si="3"/>
        <v>LPDDR4_HIF9</v>
      </c>
      <c r="Z46" s="172" t="str">
        <f t="shared" si="3"/>
        <v>LPDDR4_HIF8</v>
      </c>
      <c r="AA46" s="172" t="str">
        <f t="shared" si="3"/>
        <v>LPDDR4_HIF7</v>
      </c>
      <c r="AB46" s="172" t="str">
        <f t="shared" si="3"/>
        <v>LPDDR4_HIF6</v>
      </c>
      <c r="AC46" s="172" t="str">
        <f t="shared" si="3"/>
        <v>LPDDR4_HIF5</v>
      </c>
      <c r="AD46" s="172" t="str">
        <f t="shared" si="3"/>
        <v>LPDDR4_HIF4</v>
      </c>
      <c r="AE46" s="172" t="str">
        <f t="shared" si="3"/>
        <v>LPDDR4_HIF3</v>
      </c>
      <c r="AF46" s="172" t="str">
        <f t="shared" si="3"/>
        <v>LPDDR4_HIF2</v>
      </c>
      <c r="AI46" s="299"/>
      <c r="AK46" s="228"/>
    </row>
    <row r="47" spans="1:37" hidden="1">
      <c r="A47" s="172" t="s">
        <v>1502</v>
      </c>
      <c r="C47" s="172" t="s">
        <v>117</v>
      </c>
      <c r="D47" s="172" t="s">
        <v>117</v>
      </c>
      <c r="E47" s="172" t="s">
        <v>117</v>
      </c>
      <c r="F47" s="172" t="s">
        <v>117</v>
      </c>
      <c r="G47" s="172" t="s">
        <v>117</v>
      </c>
      <c r="H47" s="172" t="s">
        <v>117</v>
      </c>
      <c r="I47" s="172" t="s">
        <v>117</v>
      </c>
      <c r="J47" s="172" t="s">
        <v>117</v>
      </c>
      <c r="K47" s="172" t="s">
        <v>117</v>
      </c>
      <c r="L47" s="172" t="s">
        <v>117</v>
      </c>
      <c r="M47" s="172" t="s">
        <v>117</v>
      </c>
      <c r="N47" s="172" t="s">
        <v>117</v>
      </c>
      <c r="O47" s="172" t="s">
        <v>117</v>
      </c>
      <c r="P47" s="172" t="s">
        <v>117</v>
      </c>
      <c r="Q47" s="172" t="s">
        <v>117</v>
      </c>
      <c r="R47" s="172" t="s">
        <v>117</v>
      </c>
      <c r="S47" s="172" t="s">
        <v>117</v>
      </c>
      <c r="T47" s="172" t="s">
        <v>117</v>
      </c>
      <c r="U47" s="172" t="s">
        <v>117</v>
      </c>
      <c r="V47" s="172" t="s">
        <v>117</v>
      </c>
      <c r="W47" s="172" t="s">
        <v>117</v>
      </c>
      <c r="X47" s="172" t="s">
        <v>117</v>
      </c>
      <c r="Y47" s="172" t="s">
        <v>117</v>
      </c>
      <c r="Z47" s="172" t="s">
        <v>117</v>
      </c>
      <c r="AA47" s="172" t="s">
        <v>117</v>
      </c>
      <c r="AB47" s="172" t="s">
        <v>117</v>
      </c>
      <c r="AC47" s="172" t="s">
        <v>117</v>
      </c>
      <c r="AD47" s="172" t="s">
        <v>117</v>
      </c>
      <c r="AE47" s="172" t="s">
        <v>117</v>
      </c>
      <c r="AF47" s="172" t="s">
        <v>117</v>
      </c>
      <c r="AI47" s="299"/>
    </row>
    <row r="48" spans="1:37" hidden="1">
      <c r="C48" s="172" t="s">
        <v>926</v>
      </c>
      <c r="D48" s="172" t="s">
        <v>925</v>
      </c>
      <c r="E48" s="172" t="s">
        <v>924</v>
      </c>
      <c r="F48" s="172" t="s">
        <v>923</v>
      </c>
      <c r="G48" s="172" t="s">
        <v>922</v>
      </c>
      <c r="H48" s="172" t="s">
        <v>921</v>
      </c>
      <c r="I48" s="172" t="s">
        <v>920</v>
      </c>
      <c r="J48" s="172" t="s">
        <v>919</v>
      </c>
      <c r="K48" s="172" t="s">
        <v>918</v>
      </c>
      <c r="L48" s="172" t="s">
        <v>917</v>
      </c>
      <c r="M48" s="172" t="s">
        <v>916</v>
      </c>
      <c r="N48" s="172" t="s">
        <v>915</v>
      </c>
      <c r="O48" s="172" t="s">
        <v>914</v>
      </c>
      <c r="P48" s="172" t="s">
        <v>911</v>
      </c>
      <c r="Q48" s="172" t="s">
        <v>911</v>
      </c>
      <c r="R48" s="172" t="s">
        <v>909</v>
      </c>
      <c r="S48" s="172" t="s">
        <v>908</v>
      </c>
      <c r="T48" s="172" t="s">
        <v>907</v>
      </c>
      <c r="U48" s="172" t="s">
        <v>906</v>
      </c>
      <c r="V48" s="172" t="s">
        <v>905</v>
      </c>
      <c r="W48" s="172" t="s">
        <v>904</v>
      </c>
      <c r="X48" s="172" t="s">
        <v>903</v>
      </c>
      <c r="Y48" s="172" t="s">
        <v>902</v>
      </c>
      <c r="Z48" s="172" t="s">
        <v>902</v>
      </c>
      <c r="AA48" s="172" t="s">
        <v>902</v>
      </c>
      <c r="AB48" s="172" t="s">
        <v>902</v>
      </c>
      <c r="AC48" s="172" t="s">
        <v>902</v>
      </c>
      <c r="AD48" s="172" t="s">
        <v>902</v>
      </c>
      <c r="AE48" s="172" t="s">
        <v>902</v>
      </c>
      <c r="AF48" s="172" t="s">
        <v>902</v>
      </c>
      <c r="AI48" s="299"/>
    </row>
    <row r="49" spans="3:35" hidden="1">
      <c r="C49" s="172" t="s">
        <v>927</v>
      </c>
      <c r="D49" s="172" t="s">
        <v>926</v>
      </c>
      <c r="E49" s="172" t="s">
        <v>925</v>
      </c>
      <c r="F49" s="172" t="s">
        <v>924</v>
      </c>
      <c r="G49" s="172" t="s">
        <v>923</v>
      </c>
      <c r="H49" s="172" t="s">
        <v>922</v>
      </c>
      <c r="I49" s="172" t="s">
        <v>921</v>
      </c>
      <c r="J49" s="172" t="s">
        <v>920</v>
      </c>
      <c r="K49" s="172" t="s">
        <v>919</v>
      </c>
      <c r="L49" s="172" t="s">
        <v>918</v>
      </c>
      <c r="M49" s="172" t="s">
        <v>917</v>
      </c>
      <c r="N49" s="172" t="s">
        <v>916</v>
      </c>
      <c r="O49" s="172" t="s">
        <v>915</v>
      </c>
      <c r="P49" s="172" t="s">
        <v>913</v>
      </c>
      <c r="Q49" s="172" t="s">
        <v>912</v>
      </c>
      <c r="R49" s="172" t="s">
        <v>911</v>
      </c>
      <c r="S49" s="172" t="s">
        <v>909</v>
      </c>
      <c r="T49" s="172" t="s">
        <v>908</v>
      </c>
      <c r="U49" s="172" t="s">
        <v>907</v>
      </c>
      <c r="V49" s="172" t="s">
        <v>906</v>
      </c>
      <c r="W49" s="172" t="s">
        <v>905</v>
      </c>
      <c r="X49" s="172" t="s">
        <v>904</v>
      </c>
      <c r="Y49" s="172" t="s">
        <v>903</v>
      </c>
      <c r="Z49" s="172" t="s">
        <v>903</v>
      </c>
      <c r="AA49" s="172" t="s">
        <v>903</v>
      </c>
      <c r="AB49" s="172" t="s">
        <v>903</v>
      </c>
      <c r="AC49" s="172" t="s">
        <v>903</v>
      </c>
      <c r="AD49" s="172" t="s">
        <v>903</v>
      </c>
      <c r="AE49" s="172" t="s">
        <v>903</v>
      </c>
      <c r="AF49" s="172" t="s">
        <v>930</v>
      </c>
      <c r="AI49" s="299"/>
    </row>
    <row r="50" spans="3:35" hidden="1">
      <c r="C50" s="172" t="s">
        <v>930</v>
      </c>
      <c r="D50" s="172" t="s">
        <v>927</v>
      </c>
      <c r="E50" s="172" t="s">
        <v>926</v>
      </c>
      <c r="F50" s="172" t="s">
        <v>925</v>
      </c>
      <c r="G50" s="172" t="s">
        <v>924</v>
      </c>
      <c r="H50" s="172" t="s">
        <v>923</v>
      </c>
      <c r="I50" s="172" t="s">
        <v>922</v>
      </c>
      <c r="J50" s="172" t="s">
        <v>921</v>
      </c>
      <c r="K50" s="172" t="s">
        <v>920</v>
      </c>
      <c r="L50" s="172" t="s">
        <v>919</v>
      </c>
      <c r="M50" s="172" t="s">
        <v>918</v>
      </c>
      <c r="N50" s="172" t="s">
        <v>917</v>
      </c>
      <c r="O50" s="172" t="s">
        <v>916</v>
      </c>
      <c r="P50" s="172" t="s">
        <v>914</v>
      </c>
      <c r="Q50" s="172" t="s">
        <v>913</v>
      </c>
      <c r="R50" s="172" t="s">
        <v>912</v>
      </c>
      <c r="S50" s="172" t="s">
        <v>911</v>
      </c>
      <c r="T50" s="172" t="s">
        <v>909</v>
      </c>
      <c r="U50" s="172" t="s">
        <v>908</v>
      </c>
      <c r="V50" s="172" t="s">
        <v>907</v>
      </c>
      <c r="W50" s="172" t="s">
        <v>906</v>
      </c>
      <c r="X50" s="172" t="s">
        <v>905</v>
      </c>
      <c r="Y50" s="172" t="s">
        <v>904</v>
      </c>
      <c r="Z50" s="172" t="s">
        <v>904</v>
      </c>
      <c r="AA50" s="172" t="s">
        <v>904</v>
      </c>
      <c r="AB50" s="172" t="s">
        <v>904</v>
      </c>
      <c r="AC50" s="172" t="s">
        <v>904</v>
      </c>
      <c r="AD50" s="172" t="s">
        <v>904</v>
      </c>
      <c r="AE50" s="172" t="s">
        <v>930</v>
      </c>
      <c r="AI50" s="299"/>
    </row>
    <row r="51" spans="3:35" hidden="1">
      <c r="C51" s="172" t="s">
        <v>931</v>
      </c>
      <c r="D51" s="172" t="s">
        <v>930</v>
      </c>
      <c r="E51" s="172" t="s">
        <v>927</v>
      </c>
      <c r="F51" s="172" t="s">
        <v>926</v>
      </c>
      <c r="G51" s="172" t="s">
        <v>925</v>
      </c>
      <c r="H51" s="172" t="s">
        <v>924</v>
      </c>
      <c r="I51" s="172" t="s">
        <v>923</v>
      </c>
      <c r="J51" s="172" t="s">
        <v>922</v>
      </c>
      <c r="K51" s="172" t="s">
        <v>921</v>
      </c>
      <c r="L51" s="172" t="s">
        <v>920</v>
      </c>
      <c r="M51" s="172" t="s">
        <v>919</v>
      </c>
      <c r="N51" s="172" t="s">
        <v>918</v>
      </c>
      <c r="O51" s="172" t="s">
        <v>917</v>
      </c>
      <c r="P51" s="172" t="s">
        <v>915</v>
      </c>
      <c r="Q51" s="172" t="s">
        <v>914</v>
      </c>
      <c r="R51" s="172" t="s">
        <v>913</v>
      </c>
      <c r="S51" s="172" t="s">
        <v>912</v>
      </c>
      <c r="T51" s="172" t="s">
        <v>911</v>
      </c>
      <c r="U51" s="172" t="s">
        <v>909</v>
      </c>
      <c r="V51" s="172" t="s">
        <v>908</v>
      </c>
      <c r="W51" s="172" t="s">
        <v>907</v>
      </c>
      <c r="X51" s="172" t="s">
        <v>906</v>
      </c>
      <c r="Y51" s="172" t="s">
        <v>905</v>
      </c>
      <c r="Z51" s="172" t="s">
        <v>905</v>
      </c>
      <c r="AA51" s="172" t="s">
        <v>905</v>
      </c>
      <c r="AB51" s="172" t="s">
        <v>905</v>
      </c>
      <c r="AC51" s="172" t="s">
        <v>905</v>
      </c>
      <c r="AD51" s="172" t="s">
        <v>930</v>
      </c>
      <c r="AE51" s="172" t="s">
        <v>931</v>
      </c>
      <c r="AI51" s="299"/>
    </row>
    <row r="52" spans="3:35" hidden="1">
      <c r="C52" s="172" t="s">
        <v>932</v>
      </c>
      <c r="D52" s="172" t="s">
        <v>931</v>
      </c>
      <c r="E52" s="172" t="s">
        <v>930</v>
      </c>
      <c r="F52" s="172" t="s">
        <v>927</v>
      </c>
      <c r="G52" s="172" t="s">
        <v>926</v>
      </c>
      <c r="H52" s="172" t="s">
        <v>925</v>
      </c>
      <c r="I52" s="172" t="s">
        <v>924</v>
      </c>
      <c r="J52" s="172" t="s">
        <v>923</v>
      </c>
      <c r="K52" s="172" t="s">
        <v>922</v>
      </c>
      <c r="L52" s="172" t="s">
        <v>921</v>
      </c>
      <c r="M52" s="172" t="s">
        <v>920</v>
      </c>
      <c r="N52" s="172" t="s">
        <v>919</v>
      </c>
      <c r="O52" s="172" t="s">
        <v>918</v>
      </c>
      <c r="P52" s="172" t="s">
        <v>916</v>
      </c>
      <c r="Q52" s="172" t="s">
        <v>915</v>
      </c>
      <c r="R52" s="172" t="s">
        <v>914</v>
      </c>
      <c r="S52" s="172" t="s">
        <v>913</v>
      </c>
      <c r="T52" s="172" t="s">
        <v>912</v>
      </c>
      <c r="U52" s="172" t="s">
        <v>911</v>
      </c>
      <c r="V52" s="172" t="s">
        <v>909</v>
      </c>
      <c r="W52" s="172" t="s">
        <v>908</v>
      </c>
      <c r="X52" s="172" t="s">
        <v>907</v>
      </c>
      <c r="Y52" s="172" t="s">
        <v>906</v>
      </c>
      <c r="Z52" s="172" t="s">
        <v>906</v>
      </c>
      <c r="AA52" s="172" t="s">
        <v>906</v>
      </c>
      <c r="AB52" s="172" t="s">
        <v>906</v>
      </c>
      <c r="AC52" s="172" t="s">
        <v>930</v>
      </c>
      <c r="AD52" s="172" t="s">
        <v>931</v>
      </c>
      <c r="AI52" s="299"/>
    </row>
    <row r="53" spans="3:35" hidden="1">
      <c r="C53" s="172" t="s">
        <v>933</v>
      </c>
      <c r="D53" s="172" t="s">
        <v>932</v>
      </c>
      <c r="E53" s="172" t="s">
        <v>931</v>
      </c>
      <c r="F53" s="172" t="s">
        <v>930</v>
      </c>
      <c r="G53" s="172" t="s">
        <v>927</v>
      </c>
      <c r="H53" s="172" t="s">
        <v>926</v>
      </c>
      <c r="I53" s="172" t="s">
        <v>925</v>
      </c>
      <c r="J53" s="172" t="s">
        <v>924</v>
      </c>
      <c r="K53" s="172" t="s">
        <v>923</v>
      </c>
      <c r="L53" s="172" t="s">
        <v>922</v>
      </c>
      <c r="M53" s="172" t="s">
        <v>921</v>
      </c>
      <c r="N53" s="172" t="s">
        <v>920</v>
      </c>
      <c r="O53" s="172" t="s">
        <v>919</v>
      </c>
      <c r="P53" s="172" t="s">
        <v>917</v>
      </c>
      <c r="Q53" s="172" t="s">
        <v>916</v>
      </c>
      <c r="R53" s="172" t="s">
        <v>915</v>
      </c>
      <c r="S53" s="172" t="s">
        <v>914</v>
      </c>
      <c r="T53" s="172" t="s">
        <v>913</v>
      </c>
      <c r="U53" s="172" t="s">
        <v>912</v>
      </c>
      <c r="V53" s="172" t="s">
        <v>911</v>
      </c>
      <c r="W53" s="172" t="s">
        <v>909</v>
      </c>
      <c r="X53" s="172" t="s">
        <v>908</v>
      </c>
      <c r="Y53" s="172" t="s">
        <v>907</v>
      </c>
      <c r="Z53" s="172" t="s">
        <v>907</v>
      </c>
      <c r="AA53" s="172" t="s">
        <v>907</v>
      </c>
      <c r="AB53" s="172" t="s">
        <v>912</v>
      </c>
      <c r="AC53" s="172" t="s">
        <v>931</v>
      </c>
      <c r="AD53" s="172" t="s">
        <v>932</v>
      </c>
      <c r="AI53" s="299"/>
    </row>
    <row r="54" spans="3:35" hidden="1">
      <c r="C54" s="172" t="s">
        <v>969</v>
      </c>
      <c r="D54" s="172" t="s">
        <v>933</v>
      </c>
      <c r="E54" s="172" t="s">
        <v>932</v>
      </c>
      <c r="F54" s="172" t="s">
        <v>931</v>
      </c>
      <c r="G54" s="172" t="s">
        <v>930</v>
      </c>
      <c r="H54" s="172" t="s">
        <v>927</v>
      </c>
      <c r="I54" s="172" t="s">
        <v>926</v>
      </c>
      <c r="J54" s="172" t="s">
        <v>925</v>
      </c>
      <c r="K54" s="172" t="s">
        <v>924</v>
      </c>
      <c r="L54" s="172" t="s">
        <v>923</v>
      </c>
      <c r="M54" s="172" t="s">
        <v>922</v>
      </c>
      <c r="N54" s="172" t="s">
        <v>921</v>
      </c>
      <c r="O54" s="172" t="s">
        <v>920</v>
      </c>
      <c r="P54" s="172" t="s">
        <v>918</v>
      </c>
      <c r="Q54" s="172" t="s">
        <v>917</v>
      </c>
      <c r="R54" s="172" t="s">
        <v>916</v>
      </c>
      <c r="S54" s="172" t="s">
        <v>915</v>
      </c>
      <c r="T54" s="172" t="s">
        <v>914</v>
      </c>
      <c r="U54" s="172" t="s">
        <v>913</v>
      </c>
      <c r="V54" s="172" t="s">
        <v>912</v>
      </c>
      <c r="W54" s="172" t="s">
        <v>911</v>
      </c>
      <c r="X54" s="172" t="s">
        <v>909</v>
      </c>
      <c r="Y54" s="172" t="s">
        <v>908</v>
      </c>
      <c r="Z54" s="172" t="s">
        <v>908</v>
      </c>
      <c r="AA54" s="172" t="s">
        <v>912</v>
      </c>
      <c r="AB54" s="172" t="s">
        <v>930</v>
      </c>
      <c r="AC54" s="172" t="s">
        <v>932</v>
      </c>
      <c r="AI54" s="299"/>
    </row>
    <row r="55" spans="3:35" hidden="1">
      <c r="D55" s="172" t="s">
        <v>969</v>
      </c>
      <c r="E55" s="172" t="s">
        <v>933</v>
      </c>
      <c r="F55" s="172" t="s">
        <v>932</v>
      </c>
      <c r="G55" s="172" t="s">
        <v>931</v>
      </c>
      <c r="H55" s="172" t="s">
        <v>930</v>
      </c>
      <c r="I55" s="172" t="s">
        <v>927</v>
      </c>
      <c r="J55" s="172" t="s">
        <v>926</v>
      </c>
      <c r="K55" s="172" t="s">
        <v>925</v>
      </c>
      <c r="L55" s="172" t="s">
        <v>924</v>
      </c>
      <c r="M55" s="172" t="s">
        <v>923</v>
      </c>
      <c r="N55" s="172" t="s">
        <v>922</v>
      </c>
      <c r="O55" s="172" t="s">
        <v>921</v>
      </c>
      <c r="P55" s="172" t="s">
        <v>919</v>
      </c>
      <c r="Q55" s="172" t="s">
        <v>918</v>
      </c>
      <c r="R55" s="172" t="s">
        <v>917</v>
      </c>
      <c r="S55" s="172" t="s">
        <v>916</v>
      </c>
      <c r="T55" s="172" t="s">
        <v>915</v>
      </c>
      <c r="U55" s="172" t="s">
        <v>914</v>
      </c>
      <c r="V55" s="172" t="s">
        <v>913</v>
      </c>
      <c r="W55" s="172" t="s">
        <v>912</v>
      </c>
      <c r="X55" s="172" t="s">
        <v>912</v>
      </c>
      <c r="Y55" s="172" t="s">
        <v>909</v>
      </c>
      <c r="Z55" s="172" t="s">
        <v>912</v>
      </c>
      <c r="AA55" s="172" t="s">
        <v>913</v>
      </c>
      <c r="AB55" s="172" t="s">
        <v>931</v>
      </c>
      <c r="AI55" s="299"/>
    </row>
    <row r="56" spans="3:35" hidden="1">
      <c r="E56" s="172" t="s">
        <v>969</v>
      </c>
      <c r="F56" s="172" t="s">
        <v>933</v>
      </c>
      <c r="G56" s="172" t="s">
        <v>932</v>
      </c>
      <c r="H56" s="172" t="s">
        <v>931</v>
      </c>
      <c r="I56" s="172" t="s">
        <v>930</v>
      </c>
      <c r="J56" s="172" t="s">
        <v>927</v>
      </c>
      <c r="K56" s="172" t="s">
        <v>926</v>
      </c>
      <c r="L56" s="172" t="s">
        <v>925</v>
      </c>
      <c r="M56" s="172" t="s">
        <v>924</v>
      </c>
      <c r="N56" s="172" t="s">
        <v>923</v>
      </c>
      <c r="O56" s="172" t="s">
        <v>922</v>
      </c>
      <c r="P56" s="172" t="s">
        <v>920</v>
      </c>
      <c r="Q56" s="172" t="s">
        <v>919</v>
      </c>
      <c r="R56" s="172" t="s">
        <v>918</v>
      </c>
      <c r="S56" s="172" t="s">
        <v>917</v>
      </c>
      <c r="T56" s="172" t="s">
        <v>916</v>
      </c>
      <c r="U56" s="172" t="s">
        <v>915</v>
      </c>
      <c r="V56" s="172" t="s">
        <v>914</v>
      </c>
      <c r="W56" s="172" t="s">
        <v>913</v>
      </c>
      <c r="X56" s="172" t="s">
        <v>913</v>
      </c>
      <c r="Y56" s="172" t="s">
        <v>912</v>
      </c>
      <c r="Z56" s="172" t="s">
        <v>913</v>
      </c>
      <c r="AA56" s="172" t="s">
        <v>930</v>
      </c>
      <c r="AB56" s="172" t="s">
        <v>932</v>
      </c>
      <c r="AI56" s="299"/>
    </row>
    <row r="57" spans="3:35" hidden="1">
      <c r="E57" s="172"/>
      <c r="F57" s="172" t="s">
        <v>969</v>
      </c>
      <c r="G57" s="172" t="s">
        <v>933</v>
      </c>
      <c r="H57" s="172" t="s">
        <v>932</v>
      </c>
      <c r="I57" s="172" t="s">
        <v>931</v>
      </c>
      <c r="J57" s="172" t="s">
        <v>930</v>
      </c>
      <c r="K57" s="172" t="s">
        <v>927</v>
      </c>
      <c r="L57" s="172" t="s">
        <v>926</v>
      </c>
      <c r="M57" s="172" t="s">
        <v>925</v>
      </c>
      <c r="N57" s="172" t="s">
        <v>924</v>
      </c>
      <c r="O57" s="172" t="s">
        <v>923</v>
      </c>
      <c r="P57" s="172" t="s">
        <v>921</v>
      </c>
      <c r="Q57" s="172" t="s">
        <v>920</v>
      </c>
      <c r="R57" s="172" t="s">
        <v>919</v>
      </c>
      <c r="S57" s="172" t="s">
        <v>918</v>
      </c>
      <c r="T57" s="172" t="s">
        <v>917</v>
      </c>
      <c r="U57" s="172" t="s">
        <v>916</v>
      </c>
      <c r="V57" s="172" t="s">
        <v>915</v>
      </c>
      <c r="W57" s="172" t="s">
        <v>914</v>
      </c>
      <c r="X57" s="172" t="s">
        <v>914</v>
      </c>
      <c r="Y57" s="172" t="s">
        <v>913</v>
      </c>
      <c r="Z57" s="172" t="s">
        <v>914</v>
      </c>
      <c r="AA57" s="172" t="s">
        <v>931</v>
      </c>
      <c r="AB57" s="172" t="s">
        <v>933</v>
      </c>
      <c r="AI57" s="299"/>
    </row>
    <row r="58" spans="3:35" hidden="1">
      <c r="E58" s="172"/>
      <c r="G58" s="172" t="s">
        <v>969</v>
      </c>
      <c r="H58" s="172" t="s">
        <v>933</v>
      </c>
      <c r="I58" s="172" t="s">
        <v>932</v>
      </c>
      <c r="J58" s="172" t="s">
        <v>931</v>
      </c>
      <c r="K58" s="172" t="s">
        <v>930</v>
      </c>
      <c r="L58" s="172" t="s">
        <v>927</v>
      </c>
      <c r="M58" s="172" t="s">
        <v>926</v>
      </c>
      <c r="N58" s="172" t="s">
        <v>925</v>
      </c>
      <c r="O58" s="172" t="s">
        <v>924</v>
      </c>
      <c r="P58" s="172" t="s">
        <v>922</v>
      </c>
      <c r="Q58" s="172" t="s">
        <v>921</v>
      </c>
      <c r="R58" s="172" t="s">
        <v>920</v>
      </c>
      <c r="S58" s="172" t="s">
        <v>919</v>
      </c>
      <c r="T58" s="172" t="s">
        <v>918</v>
      </c>
      <c r="U58" s="172" t="s">
        <v>917</v>
      </c>
      <c r="V58" s="172" t="s">
        <v>916</v>
      </c>
      <c r="W58" s="172" t="s">
        <v>915</v>
      </c>
      <c r="X58" s="172" t="s">
        <v>915</v>
      </c>
      <c r="Y58" s="172" t="s">
        <v>914</v>
      </c>
      <c r="Z58" s="172" t="s">
        <v>930</v>
      </c>
      <c r="AA58" s="172" t="s">
        <v>932</v>
      </c>
      <c r="AI58" s="299"/>
    </row>
    <row r="59" spans="3:35" hidden="1">
      <c r="E59" s="172"/>
      <c r="H59" s="172" t="s">
        <v>969</v>
      </c>
      <c r="I59" s="172" t="s">
        <v>933</v>
      </c>
      <c r="J59" s="172" t="s">
        <v>932</v>
      </c>
      <c r="K59" s="172" t="s">
        <v>931</v>
      </c>
      <c r="L59" s="172" t="s">
        <v>930</v>
      </c>
      <c r="M59" s="172" t="s">
        <v>927</v>
      </c>
      <c r="N59" s="172" t="s">
        <v>926</v>
      </c>
      <c r="O59" s="172" t="s">
        <v>925</v>
      </c>
      <c r="P59" s="172" t="s">
        <v>923</v>
      </c>
      <c r="Q59" s="172" t="s">
        <v>922</v>
      </c>
      <c r="R59" s="172" t="s">
        <v>921</v>
      </c>
      <c r="S59" s="172" t="s">
        <v>920</v>
      </c>
      <c r="T59" s="172" t="s">
        <v>919</v>
      </c>
      <c r="U59" s="172" t="s">
        <v>918</v>
      </c>
      <c r="V59" s="172" t="s">
        <v>917</v>
      </c>
      <c r="W59" s="172" t="s">
        <v>916</v>
      </c>
      <c r="X59" s="172" t="s">
        <v>916</v>
      </c>
      <c r="Y59" s="172" t="s">
        <v>915</v>
      </c>
      <c r="Z59" s="172" t="s">
        <v>931</v>
      </c>
      <c r="AA59" s="172" t="s">
        <v>933</v>
      </c>
      <c r="AI59" s="299"/>
    </row>
    <row r="60" spans="3:35" hidden="1">
      <c r="E60" s="172"/>
      <c r="I60" s="172" t="s">
        <v>969</v>
      </c>
      <c r="J60" s="172" t="s">
        <v>933</v>
      </c>
      <c r="K60" s="172" t="s">
        <v>932</v>
      </c>
      <c r="L60" s="172" t="s">
        <v>931</v>
      </c>
      <c r="M60" s="172" t="s">
        <v>930</v>
      </c>
      <c r="N60" s="172" t="s">
        <v>930</v>
      </c>
      <c r="O60" s="172" t="s">
        <v>930</v>
      </c>
      <c r="P60" s="172" t="s">
        <v>924</v>
      </c>
      <c r="Q60" s="172" t="s">
        <v>923</v>
      </c>
      <c r="R60" s="172" t="s">
        <v>922</v>
      </c>
      <c r="S60" s="172" t="s">
        <v>921</v>
      </c>
      <c r="T60" s="172" t="s">
        <v>920</v>
      </c>
      <c r="U60" s="172" t="s">
        <v>919</v>
      </c>
      <c r="V60" s="172" t="s">
        <v>918</v>
      </c>
      <c r="W60" s="172" t="s">
        <v>917</v>
      </c>
      <c r="X60" s="172" t="s">
        <v>930</v>
      </c>
      <c r="Y60" s="172" t="s">
        <v>930</v>
      </c>
      <c r="Z60" s="172" t="s">
        <v>932</v>
      </c>
      <c r="AA60" s="172" t="s">
        <v>969</v>
      </c>
      <c r="AI60" s="299"/>
    </row>
    <row r="61" spans="3:35" hidden="1">
      <c r="E61" s="172"/>
      <c r="J61" s="172" t="s">
        <v>969</v>
      </c>
      <c r="K61" s="172" t="s">
        <v>933</v>
      </c>
      <c r="L61" s="172" t="s">
        <v>932</v>
      </c>
      <c r="M61" s="172" t="s">
        <v>931</v>
      </c>
      <c r="N61" s="172" t="s">
        <v>931</v>
      </c>
      <c r="O61" s="172" t="s">
        <v>931</v>
      </c>
      <c r="P61" s="172" t="s">
        <v>930</v>
      </c>
      <c r="Q61" s="172" t="s">
        <v>930</v>
      </c>
      <c r="R61" s="172" t="s">
        <v>930</v>
      </c>
      <c r="S61" s="172" t="s">
        <v>930</v>
      </c>
      <c r="T61" s="172" t="s">
        <v>930</v>
      </c>
      <c r="U61" s="172" t="s">
        <v>930</v>
      </c>
      <c r="V61" s="172" t="s">
        <v>930</v>
      </c>
      <c r="W61" s="172" t="s">
        <v>930</v>
      </c>
      <c r="X61" s="172" t="s">
        <v>931</v>
      </c>
      <c r="Y61" s="172" t="s">
        <v>931</v>
      </c>
      <c r="Z61" s="172" t="s">
        <v>933</v>
      </c>
      <c r="AI61" s="299"/>
    </row>
    <row r="62" spans="3:35" hidden="1">
      <c r="E62" s="172"/>
      <c r="K62" s="172" t="s">
        <v>969</v>
      </c>
      <c r="L62" s="172" t="s">
        <v>933</v>
      </c>
      <c r="M62" s="172" t="s">
        <v>932</v>
      </c>
      <c r="N62" s="172" t="s">
        <v>932</v>
      </c>
      <c r="O62" s="172" t="s">
        <v>932</v>
      </c>
      <c r="P62" s="172" t="s">
        <v>931</v>
      </c>
      <c r="Q62" s="172" t="s">
        <v>931</v>
      </c>
      <c r="R62" s="172" t="s">
        <v>931</v>
      </c>
      <c r="S62" s="172" t="s">
        <v>931</v>
      </c>
      <c r="T62" s="172" t="s">
        <v>931</v>
      </c>
      <c r="U62" s="172" t="s">
        <v>931</v>
      </c>
      <c r="V62" s="172" t="s">
        <v>931</v>
      </c>
      <c r="W62" s="172" t="s">
        <v>931</v>
      </c>
      <c r="X62" s="172" t="s">
        <v>932</v>
      </c>
      <c r="Y62" s="172" t="s">
        <v>932</v>
      </c>
      <c r="Z62" s="172" t="s">
        <v>969</v>
      </c>
      <c r="AI62" s="299"/>
    </row>
    <row r="63" spans="3:35" hidden="1">
      <c r="E63" s="172"/>
      <c r="L63" s="172" t="s">
        <v>969</v>
      </c>
      <c r="M63" s="172" t="s">
        <v>933</v>
      </c>
      <c r="N63" s="172" t="s">
        <v>933</v>
      </c>
      <c r="O63" s="172" t="s">
        <v>933</v>
      </c>
      <c r="P63" s="172" t="s">
        <v>932</v>
      </c>
      <c r="Q63" s="172" t="s">
        <v>932</v>
      </c>
      <c r="R63" s="172" t="s">
        <v>932</v>
      </c>
      <c r="S63" s="172" t="s">
        <v>932</v>
      </c>
      <c r="T63" s="172" t="s">
        <v>932</v>
      </c>
      <c r="U63" s="172" t="s">
        <v>932</v>
      </c>
      <c r="V63" s="172" t="s">
        <v>932</v>
      </c>
      <c r="W63" s="172" t="s">
        <v>932</v>
      </c>
      <c r="X63" s="172" t="s">
        <v>933</v>
      </c>
      <c r="Y63" s="172" t="s">
        <v>933</v>
      </c>
      <c r="AI63" s="299"/>
    </row>
    <row r="64" spans="3:35" hidden="1">
      <c r="C64" s="228"/>
      <c r="E64" s="172"/>
      <c r="M64" s="172" t="s">
        <v>969</v>
      </c>
      <c r="N64" s="172" t="s">
        <v>969</v>
      </c>
      <c r="O64" s="172" t="s">
        <v>969</v>
      </c>
      <c r="P64" s="172" t="s">
        <v>933</v>
      </c>
      <c r="Q64" s="172" t="s">
        <v>933</v>
      </c>
      <c r="R64" s="172" t="s">
        <v>933</v>
      </c>
      <c r="S64" s="172" t="s">
        <v>933</v>
      </c>
      <c r="T64" s="172" t="s">
        <v>933</v>
      </c>
      <c r="U64" s="172" t="s">
        <v>933</v>
      </c>
      <c r="V64" s="172" t="s">
        <v>933</v>
      </c>
      <c r="W64" s="172" t="s">
        <v>933</v>
      </c>
      <c r="X64" s="172" t="s">
        <v>969</v>
      </c>
      <c r="Y64" s="172" t="s">
        <v>969</v>
      </c>
      <c r="AI64" s="299"/>
    </row>
    <row r="65" spans="1:37" hidden="1">
      <c r="P65" s="172" t="s">
        <v>969</v>
      </c>
      <c r="Q65" s="172" t="s">
        <v>969</v>
      </c>
      <c r="R65" s="172" t="s">
        <v>969</v>
      </c>
      <c r="S65" s="172" t="s">
        <v>969</v>
      </c>
      <c r="T65" s="172" t="s">
        <v>969</v>
      </c>
      <c r="U65" s="172" t="s">
        <v>969</v>
      </c>
      <c r="V65" s="172" t="s">
        <v>969</v>
      </c>
      <c r="W65" s="172" t="s">
        <v>969</v>
      </c>
      <c r="AE65" s="229"/>
      <c r="AI65" s="299"/>
    </row>
    <row r="66" spans="1:37" hidden="1">
      <c r="AE66" s="229"/>
      <c r="AI66" s="299"/>
    </row>
    <row r="67" spans="1:37" hidden="1">
      <c r="C67" s="172" t="str">
        <f>CONCATENATE("DDR3_HIF",C12)</f>
        <v>DDR3_HIF31</v>
      </c>
      <c r="D67" s="172" t="str">
        <f t="shared" ref="D67:AF67" si="4">CONCATENATE("DDR3_HIF",D12)</f>
        <v>DDR3_HIF30</v>
      </c>
      <c r="E67" s="172" t="str">
        <f t="shared" si="4"/>
        <v>DDR3_HIF29</v>
      </c>
      <c r="F67" s="172" t="str">
        <f t="shared" si="4"/>
        <v>DDR3_HIF28</v>
      </c>
      <c r="G67" s="172" t="str">
        <f t="shared" si="4"/>
        <v>DDR3_HIF27</v>
      </c>
      <c r="H67" s="172" t="str">
        <f t="shared" si="4"/>
        <v>DDR3_HIF26</v>
      </c>
      <c r="I67" s="172" t="str">
        <f t="shared" si="4"/>
        <v>DDR3_HIF25</v>
      </c>
      <c r="J67" s="172" t="str">
        <f t="shared" si="4"/>
        <v>DDR3_HIF24</v>
      </c>
      <c r="K67" s="172" t="str">
        <f t="shared" si="4"/>
        <v>DDR3_HIF23</v>
      </c>
      <c r="L67" s="172" t="str">
        <f t="shared" si="4"/>
        <v>DDR3_HIF22</v>
      </c>
      <c r="M67" s="172" t="str">
        <f t="shared" si="4"/>
        <v>DDR3_HIF21</v>
      </c>
      <c r="N67" s="172" t="str">
        <f t="shared" si="4"/>
        <v>DDR3_HIF20</v>
      </c>
      <c r="O67" s="172" t="str">
        <f t="shared" si="4"/>
        <v>DDR3_HIF19</v>
      </c>
      <c r="P67" s="172" t="str">
        <f t="shared" si="4"/>
        <v>DDR3_HIF18</v>
      </c>
      <c r="Q67" s="172" t="str">
        <f t="shared" si="4"/>
        <v>DDR3_HIF17</v>
      </c>
      <c r="R67" s="172" t="str">
        <f t="shared" si="4"/>
        <v>DDR3_HIF16</v>
      </c>
      <c r="S67" s="172" t="str">
        <f t="shared" si="4"/>
        <v>DDR3_HIF15</v>
      </c>
      <c r="T67" s="172" t="str">
        <f t="shared" si="4"/>
        <v>DDR3_HIF14</v>
      </c>
      <c r="U67" s="172" t="str">
        <f t="shared" si="4"/>
        <v>DDR3_HIF13</v>
      </c>
      <c r="V67" s="172" t="str">
        <f t="shared" si="4"/>
        <v>DDR3_HIF12</v>
      </c>
      <c r="W67" s="172" t="str">
        <f t="shared" si="4"/>
        <v>DDR3_HIF11</v>
      </c>
      <c r="X67" s="172" t="str">
        <f t="shared" si="4"/>
        <v>DDR3_HIF10</v>
      </c>
      <c r="Y67" s="172" t="str">
        <f t="shared" si="4"/>
        <v>DDR3_HIF9</v>
      </c>
      <c r="Z67" s="172" t="str">
        <f t="shared" si="4"/>
        <v>DDR3_HIF8</v>
      </c>
      <c r="AA67" s="172" t="str">
        <f t="shared" si="4"/>
        <v>DDR3_HIF7</v>
      </c>
      <c r="AB67" s="172" t="str">
        <f t="shared" si="4"/>
        <v>DDR3_HIF6</v>
      </c>
      <c r="AC67" s="172" t="str">
        <f t="shared" si="4"/>
        <v>DDR3_HIF5</v>
      </c>
      <c r="AD67" s="172" t="str">
        <f t="shared" si="4"/>
        <v>DDR3_HIF4</v>
      </c>
      <c r="AE67" s="172" t="str">
        <f t="shared" si="4"/>
        <v>DDR3_HIF3</v>
      </c>
      <c r="AF67" s="172" t="str">
        <f t="shared" si="4"/>
        <v>DDR3_HIF2</v>
      </c>
      <c r="AI67" s="299"/>
      <c r="AK67" s="228"/>
    </row>
    <row r="68" spans="1:37" hidden="1">
      <c r="A68" s="172" t="s">
        <v>2377</v>
      </c>
      <c r="C68" s="172" t="s">
        <v>117</v>
      </c>
      <c r="D68" s="172" t="s">
        <v>117</v>
      </c>
      <c r="E68" s="172" t="s">
        <v>117</v>
      </c>
      <c r="F68" s="172" t="s">
        <v>117</v>
      </c>
      <c r="G68" s="172" t="s">
        <v>117</v>
      </c>
      <c r="H68" s="172" t="s">
        <v>117</v>
      </c>
      <c r="I68" s="172" t="s">
        <v>117</v>
      </c>
      <c r="J68" s="172" t="s">
        <v>117</v>
      </c>
      <c r="K68" s="172" t="s">
        <v>117</v>
      </c>
      <c r="L68" s="172" t="s">
        <v>117</v>
      </c>
      <c r="M68" s="172" t="s">
        <v>117</v>
      </c>
      <c r="N68" s="172" t="s">
        <v>117</v>
      </c>
      <c r="O68" s="172" t="s">
        <v>117</v>
      </c>
      <c r="P68" s="172" t="s">
        <v>117</v>
      </c>
      <c r="Q68" s="172" t="s">
        <v>117</v>
      </c>
      <c r="R68" s="172" t="s">
        <v>117</v>
      </c>
      <c r="S68" s="172" t="s">
        <v>117</v>
      </c>
      <c r="T68" s="172" t="s">
        <v>117</v>
      </c>
      <c r="U68" s="172" t="s">
        <v>117</v>
      </c>
      <c r="V68" s="172" t="s">
        <v>117</v>
      </c>
      <c r="W68" s="172" t="s">
        <v>117</v>
      </c>
      <c r="X68" s="172" t="s">
        <v>117</v>
      </c>
      <c r="Y68" s="172" t="s">
        <v>117</v>
      </c>
      <c r="Z68" s="172" t="s">
        <v>117</v>
      </c>
      <c r="AA68" s="172" t="s">
        <v>117</v>
      </c>
      <c r="AB68" s="172" t="s">
        <v>117</v>
      </c>
      <c r="AC68" s="172" t="s">
        <v>117</v>
      </c>
      <c r="AD68" s="172" t="s">
        <v>117</v>
      </c>
      <c r="AE68" s="172" t="s">
        <v>117</v>
      </c>
      <c r="AF68" s="172" t="s">
        <v>117</v>
      </c>
      <c r="AI68" s="299"/>
    </row>
    <row r="69" spans="1:37" hidden="1">
      <c r="C69" s="172" t="s">
        <v>926</v>
      </c>
      <c r="D69" s="172" t="s">
        <v>925</v>
      </c>
      <c r="E69" s="172" t="s">
        <v>924</v>
      </c>
      <c r="F69" s="172" t="s">
        <v>923</v>
      </c>
      <c r="G69" s="172" t="s">
        <v>922</v>
      </c>
      <c r="H69" s="172" t="s">
        <v>921</v>
      </c>
      <c r="I69" s="172" t="s">
        <v>920</v>
      </c>
      <c r="J69" s="172" t="s">
        <v>919</v>
      </c>
      <c r="K69" s="172" t="s">
        <v>918</v>
      </c>
      <c r="L69" s="172" t="s">
        <v>917</v>
      </c>
      <c r="M69" s="172" t="s">
        <v>916</v>
      </c>
      <c r="N69" s="172" t="s">
        <v>915</v>
      </c>
      <c r="O69" s="172" t="s">
        <v>914</v>
      </c>
      <c r="P69" s="172" t="s">
        <v>911</v>
      </c>
      <c r="Q69" s="172" t="s">
        <v>911</v>
      </c>
      <c r="R69" s="172" t="s">
        <v>909</v>
      </c>
      <c r="S69" s="172" t="s">
        <v>908</v>
      </c>
      <c r="T69" s="172" t="s">
        <v>907</v>
      </c>
      <c r="U69" s="172" t="s">
        <v>906</v>
      </c>
      <c r="V69" s="172" t="s">
        <v>905</v>
      </c>
      <c r="W69" s="172" t="s">
        <v>904</v>
      </c>
      <c r="X69" s="172" t="s">
        <v>903</v>
      </c>
      <c r="Y69" s="172" t="s">
        <v>902</v>
      </c>
      <c r="Z69" s="172" t="s">
        <v>902</v>
      </c>
      <c r="AA69" s="172" t="s">
        <v>902</v>
      </c>
      <c r="AB69" s="172" t="s">
        <v>902</v>
      </c>
      <c r="AC69" s="172" t="s">
        <v>902</v>
      </c>
      <c r="AD69" s="172" t="s">
        <v>902</v>
      </c>
      <c r="AE69" s="172" t="s">
        <v>902</v>
      </c>
      <c r="AF69" s="172" t="s">
        <v>902</v>
      </c>
      <c r="AI69" s="299"/>
    </row>
    <row r="70" spans="1:37" hidden="1">
      <c r="C70" s="172" t="s">
        <v>927</v>
      </c>
      <c r="D70" s="172" t="s">
        <v>926</v>
      </c>
      <c r="E70" s="172" t="s">
        <v>925</v>
      </c>
      <c r="F70" s="172" t="s">
        <v>924</v>
      </c>
      <c r="G70" s="172" t="s">
        <v>923</v>
      </c>
      <c r="H70" s="172" t="s">
        <v>922</v>
      </c>
      <c r="I70" s="172" t="s">
        <v>921</v>
      </c>
      <c r="J70" s="172" t="s">
        <v>920</v>
      </c>
      <c r="K70" s="172" t="s">
        <v>919</v>
      </c>
      <c r="L70" s="172" t="s">
        <v>918</v>
      </c>
      <c r="M70" s="172" t="s">
        <v>917</v>
      </c>
      <c r="N70" s="172" t="s">
        <v>916</v>
      </c>
      <c r="O70" s="172" t="s">
        <v>915</v>
      </c>
      <c r="P70" s="172" t="s">
        <v>913</v>
      </c>
      <c r="Q70" s="172" t="s">
        <v>912</v>
      </c>
      <c r="R70" s="172" t="s">
        <v>911</v>
      </c>
      <c r="S70" s="172" t="s">
        <v>909</v>
      </c>
      <c r="T70" s="172" t="s">
        <v>908</v>
      </c>
      <c r="U70" s="172" t="s">
        <v>907</v>
      </c>
      <c r="V70" s="172" t="s">
        <v>906</v>
      </c>
      <c r="W70" s="172" t="s">
        <v>905</v>
      </c>
      <c r="X70" s="172" t="s">
        <v>904</v>
      </c>
      <c r="Y70" s="172" t="s">
        <v>903</v>
      </c>
      <c r="Z70" s="172" t="s">
        <v>903</v>
      </c>
      <c r="AA70" s="172" t="s">
        <v>903</v>
      </c>
      <c r="AB70" s="172" t="s">
        <v>903</v>
      </c>
      <c r="AC70" s="172" t="s">
        <v>903</v>
      </c>
      <c r="AD70" s="172" t="s">
        <v>903</v>
      </c>
      <c r="AE70" s="172" t="s">
        <v>903</v>
      </c>
      <c r="AF70" s="172" t="s">
        <v>930</v>
      </c>
      <c r="AI70" s="299"/>
    </row>
    <row r="71" spans="1:37" hidden="1">
      <c r="C71" s="172" t="s">
        <v>930</v>
      </c>
      <c r="D71" s="172" t="s">
        <v>927</v>
      </c>
      <c r="E71" s="172" t="s">
        <v>926</v>
      </c>
      <c r="F71" s="172" t="s">
        <v>925</v>
      </c>
      <c r="G71" s="172" t="s">
        <v>924</v>
      </c>
      <c r="H71" s="172" t="s">
        <v>923</v>
      </c>
      <c r="I71" s="172" t="s">
        <v>922</v>
      </c>
      <c r="J71" s="172" t="s">
        <v>921</v>
      </c>
      <c r="K71" s="172" t="s">
        <v>920</v>
      </c>
      <c r="L71" s="172" t="s">
        <v>919</v>
      </c>
      <c r="M71" s="172" t="s">
        <v>918</v>
      </c>
      <c r="N71" s="172" t="s">
        <v>917</v>
      </c>
      <c r="O71" s="172" t="s">
        <v>916</v>
      </c>
      <c r="P71" s="172" t="s">
        <v>914</v>
      </c>
      <c r="Q71" s="172" t="s">
        <v>913</v>
      </c>
      <c r="R71" s="172" t="s">
        <v>912</v>
      </c>
      <c r="S71" s="172" t="s">
        <v>911</v>
      </c>
      <c r="T71" s="172" t="s">
        <v>909</v>
      </c>
      <c r="U71" s="172" t="s">
        <v>908</v>
      </c>
      <c r="V71" s="172" t="s">
        <v>907</v>
      </c>
      <c r="W71" s="172" t="s">
        <v>906</v>
      </c>
      <c r="X71" s="172" t="s">
        <v>905</v>
      </c>
      <c r="Y71" s="172" t="s">
        <v>904</v>
      </c>
      <c r="Z71" s="172" t="s">
        <v>904</v>
      </c>
      <c r="AA71" s="172" t="s">
        <v>904</v>
      </c>
      <c r="AB71" s="172" t="s">
        <v>904</v>
      </c>
      <c r="AC71" s="172" t="s">
        <v>904</v>
      </c>
      <c r="AD71" s="172" t="s">
        <v>904</v>
      </c>
      <c r="AE71" s="172" t="s">
        <v>930</v>
      </c>
      <c r="AI71" s="299"/>
    </row>
    <row r="72" spans="1:37" hidden="1">
      <c r="C72" s="172" t="s">
        <v>931</v>
      </c>
      <c r="D72" s="172" t="s">
        <v>930</v>
      </c>
      <c r="E72" s="172" t="s">
        <v>927</v>
      </c>
      <c r="F72" s="172" t="s">
        <v>926</v>
      </c>
      <c r="G72" s="172" t="s">
        <v>925</v>
      </c>
      <c r="H72" s="172" t="s">
        <v>924</v>
      </c>
      <c r="I72" s="172" t="s">
        <v>923</v>
      </c>
      <c r="J72" s="172" t="s">
        <v>922</v>
      </c>
      <c r="K72" s="172" t="s">
        <v>921</v>
      </c>
      <c r="L72" s="172" t="s">
        <v>920</v>
      </c>
      <c r="M72" s="172" t="s">
        <v>919</v>
      </c>
      <c r="N72" s="172" t="s">
        <v>918</v>
      </c>
      <c r="O72" s="172" t="s">
        <v>917</v>
      </c>
      <c r="P72" s="172" t="s">
        <v>915</v>
      </c>
      <c r="Q72" s="172" t="s">
        <v>914</v>
      </c>
      <c r="R72" s="172" t="s">
        <v>913</v>
      </c>
      <c r="S72" s="172" t="s">
        <v>912</v>
      </c>
      <c r="T72" s="172" t="s">
        <v>911</v>
      </c>
      <c r="U72" s="172" t="s">
        <v>909</v>
      </c>
      <c r="V72" s="172" t="s">
        <v>908</v>
      </c>
      <c r="W72" s="172" t="s">
        <v>907</v>
      </c>
      <c r="X72" s="172" t="s">
        <v>906</v>
      </c>
      <c r="Y72" s="172" t="s">
        <v>905</v>
      </c>
      <c r="Z72" s="172" t="s">
        <v>905</v>
      </c>
      <c r="AA72" s="172" t="s">
        <v>905</v>
      </c>
      <c r="AB72" s="172" t="s">
        <v>905</v>
      </c>
      <c r="AC72" s="172" t="s">
        <v>905</v>
      </c>
      <c r="AD72" s="172" t="s">
        <v>930</v>
      </c>
      <c r="AE72" s="172" t="s">
        <v>931</v>
      </c>
      <c r="AI72" s="299"/>
    </row>
    <row r="73" spans="1:37" hidden="1">
      <c r="C73" s="172" t="s">
        <v>932</v>
      </c>
      <c r="D73" s="172" t="s">
        <v>931</v>
      </c>
      <c r="E73" s="172" t="s">
        <v>930</v>
      </c>
      <c r="F73" s="172" t="s">
        <v>927</v>
      </c>
      <c r="G73" s="172" t="s">
        <v>926</v>
      </c>
      <c r="H73" s="172" t="s">
        <v>925</v>
      </c>
      <c r="I73" s="172" t="s">
        <v>924</v>
      </c>
      <c r="J73" s="172" t="s">
        <v>923</v>
      </c>
      <c r="K73" s="172" t="s">
        <v>922</v>
      </c>
      <c r="L73" s="172" t="s">
        <v>921</v>
      </c>
      <c r="M73" s="172" t="s">
        <v>920</v>
      </c>
      <c r="N73" s="172" t="s">
        <v>919</v>
      </c>
      <c r="O73" s="172" t="s">
        <v>918</v>
      </c>
      <c r="P73" s="172" t="s">
        <v>916</v>
      </c>
      <c r="Q73" s="172" t="s">
        <v>915</v>
      </c>
      <c r="R73" s="172" t="s">
        <v>914</v>
      </c>
      <c r="S73" s="172" t="s">
        <v>913</v>
      </c>
      <c r="T73" s="172" t="s">
        <v>912</v>
      </c>
      <c r="U73" s="172" t="s">
        <v>911</v>
      </c>
      <c r="V73" s="172" t="s">
        <v>909</v>
      </c>
      <c r="W73" s="172" t="s">
        <v>908</v>
      </c>
      <c r="X73" s="172" t="s">
        <v>907</v>
      </c>
      <c r="Y73" s="172" t="s">
        <v>906</v>
      </c>
      <c r="Z73" s="172" t="s">
        <v>906</v>
      </c>
      <c r="AA73" s="172" t="s">
        <v>906</v>
      </c>
      <c r="AB73" s="172" t="s">
        <v>906</v>
      </c>
      <c r="AC73" s="172" t="s">
        <v>930</v>
      </c>
      <c r="AD73" s="172" t="s">
        <v>931</v>
      </c>
      <c r="AI73" s="299"/>
    </row>
    <row r="74" spans="1:37" hidden="1">
      <c r="C74" s="172" t="s">
        <v>933</v>
      </c>
      <c r="D74" s="172" t="s">
        <v>932</v>
      </c>
      <c r="E74" s="172" t="s">
        <v>931</v>
      </c>
      <c r="F74" s="172" t="s">
        <v>930</v>
      </c>
      <c r="G74" s="172" t="s">
        <v>927</v>
      </c>
      <c r="H74" s="172" t="s">
        <v>926</v>
      </c>
      <c r="I74" s="172" t="s">
        <v>925</v>
      </c>
      <c r="J74" s="172" t="s">
        <v>924</v>
      </c>
      <c r="K74" s="172" t="s">
        <v>923</v>
      </c>
      <c r="L74" s="172" t="s">
        <v>922</v>
      </c>
      <c r="M74" s="172" t="s">
        <v>921</v>
      </c>
      <c r="N74" s="172" t="s">
        <v>920</v>
      </c>
      <c r="O74" s="172" t="s">
        <v>919</v>
      </c>
      <c r="P74" s="172" t="s">
        <v>917</v>
      </c>
      <c r="Q74" s="172" t="s">
        <v>916</v>
      </c>
      <c r="R74" s="172" t="s">
        <v>915</v>
      </c>
      <c r="S74" s="172" t="s">
        <v>914</v>
      </c>
      <c r="T74" s="172" t="s">
        <v>913</v>
      </c>
      <c r="U74" s="172" t="s">
        <v>912</v>
      </c>
      <c r="V74" s="172" t="s">
        <v>911</v>
      </c>
      <c r="W74" s="172" t="s">
        <v>909</v>
      </c>
      <c r="X74" s="172" t="s">
        <v>908</v>
      </c>
      <c r="Y74" s="172" t="s">
        <v>907</v>
      </c>
      <c r="Z74" s="172" t="s">
        <v>907</v>
      </c>
      <c r="AA74" s="172" t="s">
        <v>907</v>
      </c>
      <c r="AB74" s="172" t="s">
        <v>912</v>
      </c>
      <c r="AC74" s="172" t="s">
        <v>931</v>
      </c>
      <c r="AD74" s="172" t="s">
        <v>932</v>
      </c>
      <c r="AI74" s="299"/>
    </row>
    <row r="75" spans="1:37" hidden="1">
      <c r="C75" s="172" t="s">
        <v>969</v>
      </c>
      <c r="D75" s="172" t="s">
        <v>933</v>
      </c>
      <c r="E75" s="172" t="s">
        <v>932</v>
      </c>
      <c r="F75" s="172" t="s">
        <v>931</v>
      </c>
      <c r="G75" s="172" t="s">
        <v>930</v>
      </c>
      <c r="H75" s="172" t="s">
        <v>927</v>
      </c>
      <c r="I75" s="172" t="s">
        <v>926</v>
      </c>
      <c r="J75" s="172" t="s">
        <v>925</v>
      </c>
      <c r="K75" s="172" t="s">
        <v>924</v>
      </c>
      <c r="L75" s="172" t="s">
        <v>923</v>
      </c>
      <c r="M75" s="172" t="s">
        <v>922</v>
      </c>
      <c r="N75" s="172" t="s">
        <v>921</v>
      </c>
      <c r="O75" s="172" t="s">
        <v>920</v>
      </c>
      <c r="P75" s="172" t="s">
        <v>918</v>
      </c>
      <c r="Q75" s="172" t="s">
        <v>917</v>
      </c>
      <c r="R75" s="172" t="s">
        <v>916</v>
      </c>
      <c r="S75" s="172" t="s">
        <v>915</v>
      </c>
      <c r="T75" s="172" t="s">
        <v>914</v>
      </c>
      <c r="U75" s="172" t="s">
        <v>913</v>
      </c>
      <c r="V75" s="172" t="s">
        <v>912</v>
      </c>
      <c r="W75" s="172" t="s">
        <v>911</v>
      </c>
      <c r="X75" s="172" t="s">
        <v>909</v>
      </c>
      <c r="Y75" s="172" t="s">
        <v>908</v>
      </c>
      <c r="Z75" s="172" t="s">
        <v>908</v>
      </c>
      <c r="AA75" s="172" t="s">
        <v>912</v>
      </c>
      <c r="AB75" s="172" t="s">
        <v>930</v>
      </c>
      <c r="AC75" s="172" t="s">
        <v>932</v>
      </c>
      <c r="AI75" s="299"/>
    </row>
    <row r="76" spans="1:37" hidden="1">
      <c r="D76" s="172" t="s">
        <v>969</v>
      </c>
      <c r="E76" s="172" t="s">
        <v>933</v>
      </c>
      <c r="F76" s="172" t="s">
        <v>932</v>
      </c>
      <c r="G76" s="172" t="s">
        <v>931</v>
      </c>
      <c r="H76" s="172" t="s">
        <v>930</v>
      </c>
      <c r="I76" s="172" t="s">
        <v>927</v>
      </c>
      <c r="J76" s="172" t="s">
        <v>926</v>
      </c>
      <c r="K76" s="172" t="s">
        <v>925</v>
      </c>
      <c r="L76" s="172" t="s">
        <v>924</v>
      </c>
      <c r="M76" s="172" t="s">
        <v>923</v>
      </c>
      <c r="N76" s="172" t="s">
        <v>922</v>
      </c>
      <c r="O76" s="172" t="s">
        <v>921</v>
      </c>
      <c r="P76" s="172" t="s">
        <v>919</v>
      </c>
      <c r="Q76" s="172" t="s">
        <v>918</v>
      </c>
      <c r="R76" s="172" t="s">
        <v>917</v>
      </c>
      <c r="S76" s="172" t="s">
        <v>916</v>
      </c>
      <c r="T76" s="172" t="s">
        <v>915</v>
      </c>
      <c r="U76" s="172" t="s">
        <v>914</v>
      </c>
      <c r="V76" s="172" t="s">
        <v>913</v>
      </c>
      <c r="W76" s="172" t="s">
        <v>912</v>
      </c>
      <c r="X76" s="172" t="s">
        <v>912</v>
      </c>
      <c r="Y76" s="172" t="s">
        <v>912</v>
      </c>
      <c r="Z76" s="172" t="s">
        <v>912</v>
      </c>
      <c r="AA76" s="172" t="s">
        <v>913</v>
      </c>
      <c r="AB76" s="172" t="s">
        <v>931</v>
      </c>
      <c r="AI76" s="299"/>
    </row>
    <row r="77" spans="1:37" hidden="1">
      <c r="E77" s="172" t="s">
        <v>969</v>
      </c>
      <c r="F77" s="172" t="s">
        <v>933</v>
      </c>
      <c r="G77" s="172" t="s">
        <v>932</v>
      </c>
      <c r="H77" s="172" t="s">
        <v>931</v>
      </c>
      <c r="I77" s="172" t="s">
        <v>930</v>
      </c>
      <c r="J77" s="172" t="s">
        <v>927</v>
      </c>
      <c r="K77" s="172" t="s">
        <v>926</v>
      </c>
      <c r="L77" s="172" t="s">
        <v>925</v>
      </c>
      <c r="M77" s="172" t="s">
        <v>924</v>
      </c>
      <c r="N77" s="172" t="s">
        <v>923</v>
      </c>
      <c r="O77" s="172" t="s">
        <v>922</v>
      </c>
      <c r="P77" s="172" t="s">
        <v>920</v>
      </c>
      <c r="Q77" s="172" t="s">
        <v>919</v>
      </c>
      <c r="R77" s="172" t="s">
        <v>918</v>
      </c>
      <c r="S77" s="172" t="s">
        <v>917</v>
      </c>
      <c r="T77" s="172" t="s">
        <v>916</v>
      </c>
      <c r="U77" s="172" t="s">
        <v>915</v>
      </c>
      <c r="V77" s="172" t="s">
        <v>914</v>
      </c>
      <c r="W77" s="172" t="s">
        <v>913</v>
      </c>
      <c r="X77" s="172" t="s">
        <v>913</v>
      </c>
      <c r="Y77" s="172" t="s">
        <v>913</v>
      </c>
      <c r="Z77" s="172" t="s">
        <v>913</v>
      </c>
      <c r="AA77" s="172" t="s">
        <v>930</v>
      </c>
      <c r="AB77" s="172" t="s">
        <v>932</v>
      </c>
      <c r="AI77" s="299"/>
    </row>
    <row r="78" spans="1:37" hidden="1">
      <c r="E78" s="172"/>
      <c r="F78" s="172" t="s">
        <v>969</v>
      </c>
      <c r="G78" s="172" t="s">
        <v>933</v>
      </c>
      <c r="H78" s="172" t="s">
        <v>932</v>
      </c>
      <c r="I78" s="172" t="s">
        <v>931</v>
      </c>
      <c r="J78" s="172" t="s">
        <v>930</v>
      </c>
      <c r="K78" s="172" t="s">
        <v>927</v>
      </c>
      <c r="L78" s="172" t="s">
        <v>926</v>
      </c>
      <c r="M78" s="172" t="s">
        <v>925</v>
      </c>
      <c r="N78" s="172" t="s">
        <v>924</v>
      </c>
      <c r="O78" s="172" t="s">
        <v>923</v>
      </c>
      <c r="P78" s="172" t="s">
        <v>921</v>
      </c>
      <c r="Q78" s="172" t="s">
        <v>920</v>
      </c>
      <c r="R78" s="172" t="s">
        <v>919</v>
      </c>
      <c r="S78" s="172" t="s">
        <v>918</v>
      </c>
      <c r="T78" s="172" t="s">
        <v>917</v>
      </c>
      <c r="U78" s="172" t="s">
        <v>916</v>
      </c>
      <c r="V78" s="172" t="s">
        <v>915</v>
      </c>
      <c r="W78" s="172" t="s">
        <v>914</v>
      </c>
      <c r="X78" s="172" t="s">
        <v>914</v>
      </c>
      <c r="Y78" s="172" t="s">
        <v>914</v>
      </c>
      <c r="Z78" s="172" t="s">
        <v>914</v>
      </c>
      <c r="AA78" s="172" t="s">
        <v>931</v>
      </c>
      <c r="AB78" s="172" t="s">
        <v>933</v>
      </c>
      <c r="AI78" s="299"/>
    </row>
    <row r="79" spans="1:37" hidden="1">
      <c r="E79" s="172"/>
      <c r="G79" s="172" t="s">
        <v>969</v>
      </c>
      <c r="H79" s="172" t="s">
        <v>933</v>
      </c>
      <c r="I79" s="172" t="s">
        <v>932</v>
      </c>
      <c r="J79" s="172" t="s">
        <v>931</v>
      </c>
      <c r="K79" s="172" t="s">
        <v>930</v>
      </c>
      <c r="L79" s="172" t="s">
        <v>927</v>
      </c>
      <c r="M79" s="172" t="s">
        <v>926</v>
      </c>
      <c r="N79" s="172" t="s">
        <v>925</v>
      </c>
      <c r="O79" s="172" t="s">
        <v>924</v>
      </c>
      <c r="P79" s="172" t="s">
        <v>922</v>
      </c>
      <c r="Q79" s="172" t="s">
        <v>921</v>
      </c>
      <c r="R79" s="172" t="s">
        <v>920</v>
      </c>
      <c r="S79" s="172" t="s">
        <v>919</v>
      </c>
      <c r="T79" s="172" t="s">
        <v>918</v>
      </c>
      <c r="U79" s="172" t="s">
        <v>917</v>
      </c>
      <c r="V79" s="172" t="s">
        <v>916</v>
      </c>
      <c r="W79" s="172" t="s">
        <v>915</v>
      </c>
      <c r="X79" s="172" t="s">
        <v>915</v>
      </c>
      <c r="Y79" s="172" t="s">
        <v>915</v>
      </c>
      <c r="Z79" s="172" t="s">
        <v>930</v>
      </c>
      <c r="AA79" s="172" t="s">
        <v>932</v>
      </c>
      <c r="AI79" s="299"/>
    </row>
    <row r="80" spans="1:37" hidden="1">
      <c r="E80" s="172"/>
      <c r="H80" s="172" t="s">
        <v>969</v>
      </c>
      <c r="I80" s="172" t="s">
        <v>933</v>
      </c>
      <c r="J80" s="172" t="s">
        <v>932</v>
      </c>
      <c r="K80" s="172" t="s">
        <v>931</v>
      </c>
      <c r="L80" s="172" t="s">
        <v>930</v>
      </c>
      <c r="M80" s="172" t="s">
        <v>927</v>
      </c>
      <c r="N80" s="172" t="s">
        <v>926</v>
      </c>
      <c r="O80" s="172" t="s">
        <v>925</v>
      </c>
      <c r="P80" s="172" t="s">
        <v>923</v>
      </c>
      <c r="Q80" s="172" t="s">
        <v>922</v>
      </c>
      <c r="R80" s="172" t="s">
        <v>921</v>
      </c>
      <c r="S80" s="172" t="s">
        <v>920</v>
      </c>
      <c r="T80" s="172" t="s">
        <v>919</v>
      </c>
      <c r="U80" s="172" t="s">
        <v>918</v>
      </c>
      <c r="V80" s="172" t="s">
        <v>917</v>
      </c>
      <c r="W80" s="172" t="s">
        <v>916</v>
      </c>
      <c r="X80" s="172" t="s">
        <v>916</v>
      </c>
      <c r="Y80" s="172" t="s">
        <v>930</v>
      </c>
      <c r="Z80" s="172" t="s">
        <v>931</v>
      </c>
      <c r="AA80" s="172" t="s">
        <v>933</v>
      </c>
      <c r="AI80" s="299"/>
    </row>
    <row r="81" spans="2:35" hidden="1">
      <c r="E81" s="172"/>
      <c r="I81" s="172" t="s">
        <v>969</v>
      </c>
      <c r="J81" s="172" t="s">
        <v>933</v>
      </c>
      <c r="K81" s="172" t="s">
        <v>932</v>
      </c>
      <c r="L81" s="172" t="s">
        <v>931</v>
      </c>
      <c r="M81" s="172" t="s">
        <v>930</v>
      </c>
      <c r="N81" s="172" t="s">
        <v>930</v>
      </c>
      <c r="O81" s="172" t="s">
        <v>930</v>
      </c>
      <c r="P81" s="172" t="s">
        <v>924</v>
      </c>
      <c r="Q81" s="172" t="s">
        <v>923</v>
      </c>
      <c r="R81" s="172" t="s">
        <v>922</v>
      </c>
      <c r="S81" s="172" t="s">
        <v>921</v>
      </c>
      <c r="T81" s="172" t="s">
        <v>920</v>
      </c>
      <c r="U81" s="172" t="s">
        <v>919</v>
      </c>
      <c r="V81" s="172" t="s">
        <v>918</v>
      </c>
      <c r="W81" s="172" t="s">
        <v>917</v>
      </c>
      <c r="X81" s="172" t="s">
        <v>930</v>
      </c>
      <c r="Y81" s="172" t="s">
        <v>931</v>
      </c>
      <c r="Z81" s="172" t="s">
        <v>932</v>
      </c>
      <c r="AA81" s="172" t="s">
        <v>969</v>
      </c>
      <c r="AI81" s="299"/>
    </row>
    <row r="82" spans="2:35" hidden="1">
      <c r="E82" s="172"/>
      <c r="J82" s="172" t="s">
        <v>969</v>
      </c>
      <c r="K82" s="172" t="s">
        <v>933</v>
      </c>
      <c r="L82" s="172" t="s">
        <v>932</v>
      </c>
      <c r="M82" s="172" t="s">
        <v>931</v>
      </c>
      <c r="N82" s="172" t="s">
        <v>931</v>
      </c>
      <c r="O82" s="172" t="s">
        <v>931</v>
      </c>
      <c r="P82" s="172" t="s">
        <v>930</v>
      </c>
      <c r="Q82" s="172" t="s">
        <v>930</v>
      </c>
      <c r="R82" s="172" t="s">
        <v>930</v>
      </c>
      <c r="S82" s="172" t="s">
        <v>930</v>
      </c>
      <c r="T82" s="172" t="s">
        <v>930</v>
      </c>
      <c r="U82" s="172" t="s">
        <v>930</v>
      </c>
      <c r="V82" s="172" t="s">
        <v>930</v>
      </c>
      <c r="W82" s="172" t="s">
        <v>930</v>
      </c>
      <c r="X82" s="172" t="s">
        <v>931</v>
      </c>
      <c r="Y82" s="172" t="s">
        <v>932</v>
      </c>
      <c r="Z82" s="172" t="s">
        <v>933</v>
      </c>
      <c r="AI82" s="299"/>
    </row>
    <row r="83" spans="2:35" hidden="1">
      <c r="E83" s="172"/>
      <c r="K83" s="172" t="s">
        <v>969</v>
      </c>
      <c r="L83" s="172" t="s">
        <v>933</v>
      </c>
      <c r="M83" s="172" t="s">
        <v>932</v>
      </c>
      <c r="N83" s="172" t="s">
        <v>932</v>
      </c>
      <c r="O83" s="172" t="s">
        <v>932</v>
      </c>
      <c r="P83" s="172" t="s">
        <v>931</v>
      </c>
      <c r="Q83" s="172" t="s">
        <v>931</v>
      </c>
      <c r="R83" s="172" t="s">
        <v>931</v>
      </c>
      <c r="S83" s="172" t="s">
        <v>931</v>
      </c>
      <c r="T83" s="172" t="s">
        <v>931</v>
      </c>
      <c r="U83" s="172" t="s">
        <v>931</v>
      </c>
      <c r="V83" s="172" t="s">
        <v>931</v>
      </c>
      <c r="W83" s="172" t="s">
        <v>931</v>
      </c>
      <c r="X83" s="172" t="s">
        <v>932</v>
      </c>
      <c r="Y83" s="172" t="s">
        <v>933</v>
      </c>
      <c r="Z83" s="172" t="s">
        <v>969</v>
      </c>
      <c r="AI83" s="299"/>
    </row>
    <row r="84" spans="2:35" hidden="1">
      <c r="E84" s="172"/>
      <c r="L84" s="172" t="s">
        <v>969</v>
      </c>
      <c r="M84" s="172" t="s">
        <v>933</v>
      </c>
      <c r="N84" s="172" t="s">
        <v>933</v>
      </c>
      <c r="O84" s="172" t="s">
        <v>933</v>
      </c>
      <c r="P84" s="172" t="s">
        <v>932</v>
      </c>
      <c r="Q84" s="172" t="s">
        <v>932</v>
      </c>
      <c r="R84" s="172" t="s">
        <v>932</v>
      </c>
      <c r="S84" s="172" t="s">
        <v>932</v>
      </c>
      <c r="T84" s="172" t="s">
        <v>932</v>
      </c>
      <c r="U84" s="172" t="s">
        <v>932</v>
      </c>
      <c r="V84" s="172" t="s">
        <v>932</v>
      </c>
      <c r="W84" s="172" t="s">
        <v>932</v>
      </c>
      <c r="X84" s="172" t="s">
        <v>933</v>
      </c>
      <c r="Y84" s="172" t="s">
        <v>969</v>
      </c>
      <c r="AI84" s="299"/>
    </row>
    <row r="85" spans="2:35" hidden="1">
      <c r="C85" s="228"/>
      <c r="E85" s="172"/>
      <c r="M85" s="172" t="s">
        <v>969</v>
      </c>
      <c r="N85" s="172" t="s">
        <v>969</v>
      </c>
      <c r="O85" s="172" t="s">
        <v>969</v>
      </c>
      <c r="P85" s="172" t="s">
        <v>933</v>
      </c>
      <c r="Q85" s="172" t="s">
        <v>933</v>
      </c>
      <c r="R85" s="172" t="s">
        <v>933</v>
      </c>
      <c r="S85" s="172" t="s">
        <v>933</v>
      </c>
      <c r="T85" s="172" t="s">
        <v>933</v>
      </c>
      <c r="U85" s="172" t="s">
        <v>933</v>
      </c>
      <c r="V85" s="172" t="s">
        <v>933</v>
      </c>
      <c r="W85" s="172" t="s">
        <v>933</v>
      </c>
      <c r="X85" s="172" t="s">
        <v>969</v>
      </c>
      <c r="AI85" s="299"/>
    </row>
    <row r="86" spans="2:35" hidden="1">
      <c r="P86" s="172" t="s">
        <v>969</v>
      </c>
      <c r="Q86" s="172" t="s">
        <v>969</v>
      </c>
      <c r="R86" s="172" t="s">
        <v>969</v>
      </c>
      <c r="S86" s="172" t="s">
        <v>969</v>
      </c>
      <c r="T86" s="172" t="s">
        <v>969</v>
      </c>
      <c r="U86" s="172" t="s">
        <v>969</v>
      </c>
      <c r="V86" s="172" t="s">
        <v>969</v>
      </c>
      <c r="W86" s="172" t="s">
        <v>969</v>
      </c>
      <c r="AE86" s="229"/>
      <c r="AI86" s="299"/>
    </row>
    <row r="87" spans="2:35" hidden="1">
      <c r="AE87" s="229"/>
      <c r="AI87" s="299"/>
    </row>
    <row r="88" spans="2:35" hidden="1">
      <c r="C88" s="228"/>
      <c r="D88" s="234"/>
      <c r="E88" s="230"/>
    </row>
    <row r="89" spans="2:35" ht="38.25" hidden="1">
      <c r="B89" s="232" t="s">
        <v>153</v>
      </c>
      <c r="C89" s="228" t="s">
        <v>710</v>
      </c>
      <c r="D89" s="231" t="s">
        <v>711</v>
      </c>
      <c r="E89" s="230"/>
      <c r="F89" s="232"/>
      <c r="G89" s="233" t="s">
        <v>934</v>
      </c>
    </row>
    <row r="90" spans="2:35" hidden="1">
      <c r="C90" s="228"/>
      <c r="D90" s="230"/>
      <c r="E90" s="230"/>
      <c r="F90" s="230"/>
      <c r="H90" s="232"/>
    </row>
    <row r="91" spans="2:35" ht="76.5" hidden="1">
      <c r="B91" s="235" t="s">
        <v>1005</v>
      </c>
      <c r="C91" s="228"/>
      <c r="D91" s="362"/>
      <c r="E91" s="230"/>
      <c r="F91" s="230"/>
      <c r="G91" s="235" t="s">
        <v>1006</v>
      </c>
      <c r="H91" s="236" t="s">
        <v>710</v>
      </c>
      <c r="I91" s="236" t="s">
        <v>711</v>
      </c>
    </row>
    <row r="92" spans="2:35" hidden="1">
      <c r="B92" s="172" t="s">
        <v>900</v>
      </c>
      <c r="C92" s="228">
        <v>2</v>
      </c>
      <c r="D92" s="362"/>
      <c r="E92" s="230"/>
      <c r="F92" s="230"/>
      <c r="G92" s="172" t="s">
        <v>900</v>
      </c>
      <c r="O92" s="172" t="str">
        <f>AH13</f>
        <v>col0</v>
      </c>
      <c r="P92" s="172">
        <f>AH12</f>
        <v>0</v>
      </c>
    </row>
    <row r="93" spans="2:35" hidden="1">
      <c r="B93" s="172" t="s">
        <v>901</v>
      </c>
      <c r="C93" s="228">
        <v>2</v>
      </c>
      <c r="D93" s="230"/>
      <c r="E93" s="230"/>
      <c r="F93" s="230"/>
      <c r="G93" s="172" t="s">
        <v>901</v>
      </c>
      <c r="O93" s="172" t="str">
        <f>AG13</f>
        <v>col1</v>
      </c>
      <c r="P93" s="172">
        <f>AG12</f>
        <v>1</v>
      </c>
    </row>
    <row r="94" spans="2:35" hidden="1">
      <c r="B94" s="172" t="s">
        <v>902</v>
      </c>
      <c r="C94" s="228">
        <v>2</v>
      </c>
      <c r="D94" s="230">
        <f>IF(ISNA(VLOOKUP(B94,$O$94:$P$123,2,0)),31,VLOOKUP(B94,$O$94:$P$123,2,0)-C92)</f>
        <v>0</v>
      </c>
      <c r="E94" s="230"/>
      <c r="F94" s="230"/>
      <c r="G94" s="172" t="s">
        <v>902</v>
      </c>
      <c r="H94" s="228">
        <v>2</v>
      </c>
      <c r="I94" s="230">
        <f>IF(ISNA(VLOOKUP(G94,$O$92:$P$123,2,0)),31,VLOOKUP(G94,$O$92:$P$123,2,0)-H94)</f>
        <v>0</v>
      </c>
      <c r="O94" s="172" t="str">
        <f>AF13</f>
        <v>col2</v>
      </c>
      <c r="P94" s="172">
        <f>AF12</f>
        <v>2</v>
      </c>
    </row>
    <row r="95" spans="2:35" hidden="1">
      <c r="B95" s="172" t="s">
        <v>930</v>
      </c>
      <c r="C95" s="228">
        <v>3</v>
      </c>
      <c r="D95" s="230">
        <f>IF(ISNA(VLOOKUP(B95,$O$94:$P$123,2,0)),63,VLOOKUP(B95,$O$94:$P$123,2,0)-C93)</f>
        <v>8</v>
      </c>
      <c r="E95" s="230"/>
      <c r="F95" s="230"/>
      <c r="G95" s="172" t="s">
        <v>930</v>
      </c>
      <c r="H95" s="228">
        <v>2</v>
      </c>
      <c r="I95" s="230">
        <f>IF(ISNA(VLOOKUP(G95,$O$92:$P$123,2,0)),63,VLOOKUP(G95,$O$92:$P$123,2,0)-H95)</f>
        <v>8</v>
      </c>
      <c r="O95" s="172" t="str">
        <f>AE13</f>
        <v>col3</v>
      </c>
      <c r="P95" s="172">
        <f>AE12</f>
        <v>3</v>
      </c>
    </row>
    <row r="96" spans="2:35" hidden="1">
      <c r="B96" s="172" t="s">
        <v>712</v>
      </c>
      <c r="C96" s="228">
        <v>3</v>
      </c>
      <c r="D96" s="230">
        <f>IF(ISNA(VLOOKUP(B96,$O$94:$P$123,2,0)),63,VLOOKUP(B96,$O$94:$P$123,2,0)-C94)</f>
        <v>10</v>
      </c>
      <c r="E96" s="230"/>
      <c r="F96" s="230"/>
      <c r="G96" s="172" t="s">
        <v>903</v>
      </c>
      <c r="H96" s="228">
        <v>3</v>
      </c>
      <c r="I96" s="230">
        <f>IF(ISNA(VLOOKUP(G96,$O$92:$P$123,2,0)),31,VLOOKUP(G96,$O$92:$P$123,2,0)-H96)</f>
        <v>0</v>
      </c>
      <c r="O96" s="172" t="str">
        <f>AD13</f>
        <v>col4</v>
      </c>
      <c r="P96" s="172">
        <f>AD12</f>
        <v>4</v>
      </c>
    </row>
    <row r="97" spans="2:16" hidden="1">
      <c r="B97" s="172" t="s">
        <v>903</v>
      </c>
      <c r="C97" s="228">
        <v>3</v>
      </c>
      <c r="D97" s="230">
        <f>IF(ISNA(VLOOKUP(B97,$O$94:$P$123,2,0)),31,VLOOKUP(B97,$O$94:$P$123,2,0)-C95)</f>
        <v>0</v>
      </c>
      <c r="E97" s="230"/>
      <c r="F97" s="230"/>
      <c r="G97" s="172" t="s">
        <v>931</v>
      </c>
      <c r="H97" s="228">
        <v>3</v>
      </c>
      <c r="I97" s="230">
        <f>IF(ISNA(VLOOKUP(G97,$O$92:$P$123,2,0)),63,VLOOKUP(G97,$O$92:$P$123,2,0)-H97)</f>
        <v>8</v>
      </c>
      <c r="O97" s="172" t="str">
        <f>AC13</f>
        <v>col5</v>
      </c>
      <c r="P97" s="172">
        <f>AC12</f>
        <v>5</v>
      </c>
    </row>
    <row r="98" spans="2:16" hidden="1">
      <c r="B98" s="172" t="s">
        <v>931</v>
      </c>
      <c r="C98" s="228">
        <v>4</v>
      </c>
      <c r="D98" s="230">
        <f>IF(ISNA(VLOOKUP(B98,$O$94:$P$123,2,0)),63,VLOOKUP(B98,$O$94:$P$123,2,0)-C96)</f>
        <v>8</v>
      </c>
      <c r="E98" s="230"/>
      <c r="F98" s="230"/>
      <c r="G98" s="172" t="s">
        <v>904</v>
      </c>
      <c r="H98" s="228">
        <v>4</v>
      </c>
      <c r="I98" s="230">
        <f>IF(ISNA(VLOOKUP(G98,$O$92:$P$123,2,0)),31,VLOOKUP(G98,$O$92:$P$123,2,0)-H98)</f>
        <v>0</v>
      </c>
      <c r="O98" s="172" t="str">
        <f>AB13</f>
        <v>col6</v>
      </c>
      <c r="P98" s="172">
        <f>AB12</f>
        <v>6</v>
      </c>
    </row>
    <row r="99" spans="2:16" hidden="1">
      <c r="B99" s="172" t="s">
        <v>713</v>
      </c>
      <c r="C99" s="228">
        <v>5</v>
      </c>
      <c r="D99" s="230">
        <f>IF(ISNA(VLOOKUP(B99,$O$94:$P$123,2,0)),63,VLOOKUP(B99,$O$94:$P$123,2,0)-C97)</f>
        <v>63</v>
      </c>
      <c r="E99" s="230"/>
      <c r="F99" s="230"/>
      <c r="G99" s="172" t="s">
        <v>932</v>
      </c>
      <c r="H99" s="228">
        <v>4</v>
      </c>
      <c r="I99" s="230">
        <f>IF(ISNA(VLOOKUP(G99,$O$92:$P$123,2,0)),63,VLOOKUP(G99,$O$92:$P$123,2,0)-H99)</f>
        <v>63</v>
      </c>
      <c r="O99" s="172" t="str">
        <f>AA13</f>
        <v>col7</v>
      </c>
      <c r="P99" s="172">
        <f>AA12</f>
        <v>7</v>
      </c>
    </row>
    <row r="100" spans="2:16" hidden="1">
      <c r="B100" s="172" t="s">
        <v>904</v>
      </c>
      <c r="C100" s="228">
        <v>6</v>
      </c>
      <c r="D100" s="230">
        <f>IF(ISNA(VLOOKUP(B100,$O$94:$P$123,2,0)),31,VLOOKUP(B100,$O$94:$P$123,2,0)-C98)</f>
        <v>0</v>
      </c>
      <c r="E100" s="230"/>
      <c r="F100" s="230"/>
      <c r="G100" s="172" t="s">
        <v>905</v>
      </c>
      <c r="H100" s="228">
        <v>5</v>
      </c>
      <c r="I100" s="230">
        <f>IF(ISNA(VLOOKUP(G100,$O$92:$P$123,2,0)),31,VLOOKUP(G100,$O$92:$P$123,2,0)-H100)</f>
        <v>0</v>
      </c>
      <c r="O100" s="172" t="str">
        <f>Z13</f>
        <v>col8</v>
      </c>
      <c r="P100" s="172">
        <f>Z12</f>
        <v>8</v>
      </c>
    </row>
    <row r="101" spans="2:16" hidden="1">
      <c r="B101" s="172" t="s">
        <v>905</v>
      </c>
      <c r="C101" s="228">
        <v>6</v>
      </c>
      <c r="D101" s="230">
        <f>IF(ISNA(VLOOKUP(B101,$O$94:$P$123,2,0)),31,VLOOKUP(B101,$O$94:$P$123,2,0)-C99)</f>
        <v>0</v>
      </c>
      <c r="E101" s="230"/>
      <c r="F101" s="230"/>
      <c r="G101" s="172" t="s">
        <v>906</v>
      </c>
      <c r="H101" s="228">
        <v>6</v>
      </c>
      <c r="I101" s="230">
        <f>IF(ISNA(VLOOKUP(G101,$O$92:$P$123,2,0)),31,VLOOKUP(G101,$O$92:$P$123,2,0)-H101)</f>
        <v>0</v>
      </c>
      <c r="O101" s="172" t="str">
        <f>Y13</f>
        <v>col9</v>
      </c>
      <c r="P101" s="172">
        <f>Y12</f>
        <v>9</v>
      </c>
    </row>
    <row r="102" spans="2:16" hidden="1">
      <c r="B102" s="172" t="s">
        <v>906</v>
      </c>
      <c r="C102" s="228">
        <v>6</v>
      </c>
      <c r="D102" s="230">
        <f>IF(ISNA(VLOOKUP(B102,$O$94:$P$123,2,0)),31,VLOOKUP(B102,$O$94:$P$123,2,0)-C100)</f>
        <v>0</v>
      </c>
      <c r="E102" s="230"/>
      <c r="F102" s="230"/>
      <c r="G102" s="172" t="s">
        <v>933</v>
      </c>
      <c r="H102" s="228">
        <v>6</v>
      </c>
      <c r="I102" s="230">
        <f>IF(ISNA(VLOOKUP(G102,$O$92:$P$123,2,0)),31,VLOOKUP(G102,$O$92:$P$123,2,0)-H102)</f>
        <v>31</v>
      </c>
      <c r="O102" s="172" t="str">
        <f>X13</f>
        <v>bank0</v>
      </c>
      <c r="P102" s="172">
        <f>X12</f>
        <v>10</v>
      </c>
    </row>
    <row r="103" spans="2:16" hidden="1">
      <c r="B103" s="172" t="s">
        <v>912</v>
      </c>
      <c r="C103" s="228">
        <v>7</v>
      </c>
      <c r="D103" s="230">
        <f>IF(ISNA(VLOOKUP(B103,$O$94:$P$123,2,0)),15,VLOOKUP(B103,$O$94:$P$123,2,0)-C101)</f>
        <v>7</v>
      </c>
      <c r="E103" s="230"/>
      <c r="F103" s="230"/>
      <c r="G103" s="172" t="s">
        <v>912</v>
      </c>
      <c r="H103" s="228">
        <v>6</v>
      </c>
      <c r="I103" s="230">
        <f>IF(ISNA(VLOOKUP(G103,$O$92:$P$123,2,0)),15,VLOOKUP(G103,$O$92:$P$123,2,0)-H103)</f>
        <v>7</v>
      </c>
      <c r="O103" s="172" t="str">
        <f>W13</f>
        <v>bank1</v>
      </c>
      <c r="P103" s="172">
        <f>W12</f>
        <v>11</v>
      </c>
    </row>
    <row r="104" spans="2:16" hidden="1">
      <c r="B104" s="172" t="s">
        <v>933</v>
      </c>
      <c r="C104" s="228">
        <v>7</v>
      </c>
      <c r="D104" s="230">
        <f>IF(ISNA(VLOOKUP(B104,$O$94:$P$123,2,0)),31,VLOOKUP(B104,$O$94:$P$123,2,0)-C102)</f>
        <v>31</v>
      </c>
      <c r="E104" s="230"/>
      <c r="F104" s="230"/>
      <c r="G104" s="172" t="s">
        <v>907</v>
      </c>
      <c r="H104" s="228">
        <v>7</v>
      </c>
      <c r="I104" s="230">
        <f>IF(ISNA(VLOOKUP(G104,$O$92:$P$123,2,0)),31,VLOOKUP(G104,$O$92:$P$123,2,0)-H104)</f>
        <v>0</v>
      </c>
      <c r="O104" s="172" t="str">
        <f>V13</f>
        <v>bg0</v>
      </c>
      <c r="P104" s="172">
        <f>V12</f>
        <v>12</v>
      </c>
    </row>
    <row r="105" spans="2:16" hidden="1">
      <c r="B105" s="172" t="s">
        <v>907</v>
      </c>
      <c r="C105" s="228">
        <v>7</v>
      </c>
      <c r="D105" s="230">
        <f>IF(ISNA(VLOOKUP(B105,$O$94:$P$123,2,0)),31,VLOOKUP(B105,$O$94:$P$123,2,0)-C103)</f>
        <v>0</v>
      </c>
      <c r="F105" s="230"/>
      <c r="G105" s="172" t="s">
        <v>969</v>
      </c>
      <c r="H105" s="228">
        <v>7</v>
      </c>
      <c r="I105" s="230">
        <f>IF(ISNA(VLOOKUP(G105,$O$92:$P$123,2,0)),31,VLOOKUP(G105,$O$92:$P$123,2,0)-H105)</f>
        <v>31</v>
      </c>
      <c r="O105" s="172" t="str">
        <f>U13</f>
        <v>row0</v>
      </c>
      <c r="P105" s="172">
        <f>U12</f>
        <v>13</v>
      </c>
    </row>
    <row r="106" spans="2:16" hidden="1">
      <c r="B106" s="172" t="s">
        <v>913</v>
      </c>
      <c r="C106" s="228">
        <v>8</v>
      </c>
      <c r="D106" s="230">
        <f>IF(ISNA(VLOOKUP(B106,$O$94:$P$123,2,0)),15,VLOOKUP(B106,$O$94:$P$123,2,0)-C104)</f>
        <v>7</v>
      </c>
      <c r="F106" s="230"/>
      <c r="G106" s="172" t="s">
        <v>913</v>
      </c>
      <c r="H106" s="228">
        <v>7</v>
      </c>
      <c r="I106" s="230">
        <f>IF(ISNA(VLOOKUP(G106,$O$92:$P$123,2,0)),15,VLOOKUP(G106,$O$92:$P$123,2,0)-H106)</f>
        <v>7</v>
      </c>
      <c r="O106" s="172" t="str">
        <f>T13</f>
        <v>row1</v>
      </c>
      <c r="P106" s="172">
        <f>T12</f>
        <v>14</v>
      </c>
    </row>
    <row r="107" spans="2:16" hidden="1">
      <c r="B107" s="172" t="s">
        <v>969</v>
      </c>
      <c r="C107" s="228">
        <v>8</v>
      </c>
      <c r="D107" s="230">
        <f>IF(ISNA(VLOOKUP(B107,$O$94:$P$123,2,0)),31,VLOOKUP(B107,$O$94:$P$123,2,0)-C105)</f>
        <v>31</v>
      </c>
      <c r="F107" s="230"/>
      <c r="G107" s="172" t="s">
        <v>908</v>
      </c>
      <c r="H107" s="228">
        <v>8</v>
      </c>
      <c r="I107" s="230">
        <f>IF(ISNA(VLOOKUP(G107,$O$92:$P$123,2,0)),31,VLOOKUP(G107,$O$92:$P$123,2,0)-H107)</f>
        <v>0</v>
      </c>
      <c r="O107" s="172" t="str">
        <f>S13</f>
        <v>row2</v>
      </c>
      <c r="P107" s="172">
        <f>S12</f>
        <v>15</v>
      </c>
    </row>
    <row r="108" spans="2:16" hidden="1">
      <c r="B108" s="172" t="s">
        <v>908</v>
      </c>
      <c r="C108" s="228">
        <v>9</v>
      </c>
      <c r="D108" s="230">
        <f>IF(ISNA(VLOOKUP(B108,$O$94:$P$123,2,0)),31,VLOOKUP(B108,$O$94:$P$123,2,0)-C106)</f>
        <v>0</v>
      </c>
      <c r="F108" s="230"/>
      <c r="G108" s="172" t="s">
        <v>914</v>
      </c>
      <c r="H108" s="228">
        <v>8</v>
      </c>
      <c r="I108" s="230">
        <f>IF(ISNA(VLOOKUP(G108,$O$92:$P$123,2,0)),15,VLOOKUP(G108,$O$92:$P$123,2,0)-H108)</f>
        <v>7</v>
      </c>
      <c r="O108" s="172" t="str">
        <f>R13</f>
        <v>row3</v>
      </c>
      <c r="P108" s="172">
        <f>R12</f>
        <v>16</v>
      </c>
    </row>
    <row r="109" spans="2:16" hidden="1">
      <c r="B109" s="172" t="s">
        <v>914</v>
      </c>
      <c r="C109" s="228">
        <v>9</v>
      </c>
      <c r="D109" s="230">
        <f>IF(ISNA(VLOOKUP(B109,$O$94:$P$123,2,0)),15,VLOOKUP(B109,$O$94:$P$123,2,0)-C107)</f>
        <v>7</v>
      </c>
      <c r="F109" s="230"/>
      <c r="G109" s="172" t="s">
        <v>909</v>
      </c>
      <c r="H109" s="228">
        <v>9</v>
      </c>
      <c r="I109" s="230">
        <f>IF(ISNA(VLOOKUP(G109,$O$92:$P$123,2,0)),31,VLOOKUP(G109,$O$92:$P$123,2,0)-H109)</f>
        <v>0</v>
      </c>
      <c r="O109" s="172" t="str">
        <f>Q13</f>
        <v>row4</v>
      </c>
      <c r="P109" s="172">
        <f>Q12</f>
        <v>17</v>
      </c>
    </row>
    <row r="110" spans="2:16" hidden="1">
      <c r="B110" s="172" t="s">
        <v>909</v>
      </c>
      <c r="C110" s="228">
        <v>10</v>
      </c>
      <c r="D110" s="230">
        <f>IF(ISNA(VLOOKUP(B110,$O$94:$P$123,2,0)),31,VLOOKUP(B110,$O$94:$P$123,2,0)-C108)</f>
        <v>0</v>
      </c>
      <c r="F110" s="230"/>
      <c r="G110" s="172" t="s">
        <v>915</v>
      </c>
      <c r="H110" s="228">
        <v>9</v>
      </c>
      <c r="I110" s="230">
        <f>IF(ISNA(VLOOKUP(G110,$O$92:$P$123,2,0)),15,VLOOKUP(G110,$O$92:$P$123,2,0)-H110)</f>
        <v>7</v>
      </c>
      <c r="O110" s="172" t="str">
        <f>P13</f>
        <v>row5</v>
      </c>
      <c r="P110" s="172">
        <f>P12</f>
        <v>18</v>
      </c>
    </row>
    <row r="111" spans="2:16" hidden="1">
      <c r="B111" s="172" t="s">
        <v>915</v>
      </c>
      <c r="C111" s="228">
        <v>10</v>
      </c>
      <c r="D111" s="230">
        <f>IF(ISNA(VLOOKUP(B111,$O$94:$P$123,2,0)),15,VLOOKUP(B111,$O$94:$P$123,2,0)-C109)</f>
        <v>7</v>
      </c>
      <c r="F111" s="230"/>
      <c r="G111" s="172" t="s">
        <v>910</v>
      </c>
      <c r="H111" s="228">
        <v>10</v>
      </c>
      <c r="I111" s="230">
        <f>IF(ISNA(VLOOKUP(G111,$O$92:$P$123,2,0)),31,VLOOKUP(G111,$O$92:$P$123,2,0)-H111)</f>
        <v>31</v>
      </c>
      <c r="O111" s="172" t="str">
        <f>O13</f>
        <v>row6</v>
      </c>
      <c r="P111" s="172">
        <f>O12</f>
        <v>19</v>
      </c>
    </row>
    <row r="112" spans="2:16" hidden="1">
      <c r="B112" s="172" t="s">
        <v>910</v>
      </c>
      <c r="C112" s="228">
        <v>11</v>
      </c>
      <c r="D112" s="230">
        <f>IF(ISNA(VLOOKUP(B112,$O$94:$P$123,2,0)),31,VLOOKUP(B112,$O$94:$P$123,2,0)-C110)</f>
        <v>31</v>
      </c>
      <c r="F112" s="230"/>
      <c r="G112" s="172" t="s">
        <v>916</v>
      </c>
      <c r="H112" s="228">
        <v>10</v>
      </c>
      <c r="I112" s="230">
        <f>IF(ISNA(VLOOKUP(G112,$O$92:$P$123,2,0)),15,VLOOKUP(G112,$O$92:$P$123,2,0)-H112)</f>
        <v>7</v>
      </c>
      <c r="O112" s="172" t="str">
        <f>N13</f>
        <v>row7</v>
      </c>
      <c r="P112" s="172">
        <f>N12</f>
        <v>20</v>
      </c>
    </row>
    <row r="113" spans="2:16" hidden="1">
      <c r="B113" s="172" t="s">
        <v>916</v>
      </c>
      <c r="C113" s="228">
        <v>11</v>
      </c>
      <c r="D113" s="230">
        <f>IF(ISNA(VLOOKUP(B113,$O$94:$P$123,2,0)),15,VLOOKUP(B113,$O$94:$P$123,2,0)-C111)</f>
        <v>7</v>
      </c>
      <c r="F113" s="230"/>
      <c r="G113" s="172" t="s">
        <v>911</v>
      </c>
      <c r="H113" s="228">
        <v>11</v>
      </c>
      <c r="I113" s="230">
        <f>IF(ISNA(VLOOKUP(G113,$O$92:$P$123,2,0)),31,VLOOKUP(G113,$O$92:$P$123,2,0)-H113)</f>
        <v>31</v>
      </c>
      <c r="O113" s="172" t="str">
        <f>M13</f>
        <v>row8</v>
      </c>
      <c r="P113" s="172">
        <f>M12</f>
        <v>21</v>
      </c>
    </row>
    <row r="114" spans="2:16" hidden="1">
      <c r="B114" s="172" t="s">
        <v>911</v>
      </c>
      <c r="C114" s="228">
        <v>12</v>
      </c>
      <c r="D114" s="230">
        <f>IF(ISNA(VLOOKUP(B114,$O$94:$P$123,2,0)),31,VLOOKUP(B114,$O$94:$P$123,2,0)-C112)</f>
        <v>31</v>
      </c>
      <c r="F114" s="230"/>
      <c r="G114" s="172" t="s">
        <v>917</v>
      </c>
      <c r="H114" s="228">
        <v>11</v>
      </c>
      <c r="I114" s="230">
        <f t="shared" ref="I114:I126" si="5">IF(ISNA(VLOOKUP(G114,$O$92:$P$123,2,0)),15,VLOOKUP(G114,$O$92:$P$123,2,0)-H114)</f>
        <v>7</v>
      </c>
      <c r="O114" s="172" t="str">
        <f>L13</f>
        <v>row9</v>
      </c>
      <c r="P114" s="172">
        <f>L12</f>
        <v>22</v>
      </c>
    </row>
    <row r="115" spans="2:16" hidden="1">
      <c r="B115" s="172" t="s">
        <v>917</v>
      </c>
      <c r="C115" s="228">
        <v>13</v>
      </c>
      <c r="D115" s="230">
        <f t="shared" ref="D115:D127" si="6">IF(ISNA(VLOOKUP(B115,$O$94:$P$123,2,0)),15,VLOOKUP(B115,$O$94:$P$123,2,0)-C113)</f>
        <v>7</v>
      </c>
      <c r="F115" s="230"/>
      <c r="G115" s="172" t="s">
        <v>918</v>
      </c>
      <c r="H115" s="228">
        <v>12</v>
      </c>
      <c r="I115" s="230">
        <f t="shared" si="5"/>
        <v>7</v>
      </c>
      <c r="O115" s="172" t="str">
        <f>K13</f>
        <v>row10</v>
      </c>
      <c r="P115" s="172">
        <f>K12</f>
        <v>23</v>
      </c>
    </row>
    <row r="116" spans="2:16" hidden="1">
      <c r="B116" s="172" t="s">
        <v>918</v>
      </c>
      <c r="C116" s="228">
        <v>14</v>
      </c>
      <c r="D116" s="230">
        <f t="shared" si="6"/>
        <v>7</v>
      </c>
      <c r="F116" s="230"/>
      <c r="G116" s="172" t="s">
        <v>919</v>
      </c>
      <c r="H116" s="228">
        <v>13</v>
      </c>
      <c r="I116" s="230">
        <f t="shared" si="5"/>
        <v>7</v>
      </c>
      <c r="O116" s="172" t="str">
        <f>J13</f>
        <v>row11</v>
      </c>
      <c r="P116" s="172">
        <f>J12</f>
        <v>24</v>
      </c>
    </row>
    <row r="117" spans="2:16" hidden="1">
      <c r="B117" s="172" t="s">
        <v>919</v>
      </c>
      <c r="C117" s="228">
        <v>15</v>
      </c>
      <c r="D117" s="230">
        <f t="shared" si="6"/>
        <v>7</v>
      </c>
      <c r="F117" s="230"/>
      <c r="G117" s="172" t="s">
        <v>920</v>
      </c>
      <c r="H117" s="228">
        <v>14</v>
      </c>
      <c r="I117" s="230">
        <f t="shared" si="5"/>
        <v>7</v>
      </c>
      <c r="O117" s="172" t="str">
        <f>I13</f>
        <v>row12</v>
      </c>
      <c r="P117" s="172">
        <f>I12</f>
        <v>25</v>
      </c>
    </row>
    <row r="118" spans="2:16" hidden="1">
      <c r="B118" s="172" t="s">
        <v>920</v>
      </c>
      <c r="C118" s="228">
        <v>16</v>
      </c>
      <c r="D118" s="230">
        <f t="shared" si="6"/>
        <v>7</v>
      </c>
      <c r="F118" s="230"/>
      <c r="G118" s="172" t="s">
        <v>921</v>
      </c>
      <c r="H118" s="228">
        <v>15</v>
      </c>
      <c r="I118" s="230">
        <f t="shared" si="5"/>
        <v>7</v>
      </c>
      <c r="O118" s="172" t="str">
        <f>H13</f>
        <v>row13</v>
      </c>
      <c r="P118" s="172">
        <f>H12</f>
        <v>26</v>
      </c>
    </row>
    <row r="119" spans="2:16" hidden="1">
      <c r="B119" s="172" t="s">
        <v>921</v>
      </c>
      <c r="C119" s="228">
        <v>17</v>
      </c>
      <c r="D119" s="230">
        <f t="shared" si="6"/>
        <v>7</v>
      </c>
      <c r="F119" s="230"/>
      <c r="G119" s="172" t="s">
        <v>922</v>
      </c>
      <c r="H119" s="228">
        <v>16</v>
      </c>
      <c r="I119" s="230">
        <f t="shared" si="5"/>
        <v>7</v>
      </c>
      <c r="O119" s="172" t="str">
        <f>G13</f>
        <v>row14</v>
      </c>
      <c r="P119" s="172">
        <f>G12</f>
        <v>27</v>
      </c>
    </row>
    <row r="120" spans="2:16" hidden="1">
      <c r="B120" s="172" t="s">
        <v>922</v>
      </c>
      <c r="C120" s="228">
        <v>18</v>
      </c>
      <c r="D120" s="230">
        <f t="shared" si="6"/>
        <v>7</v>
      </c>
      <c r="F120" s="230"/>
      <c r="G120" s="172" t="s">
        <v>923</v>
      </c>
      <c r="H120" s="228">
        <v>17</v>
      </c>
      <c r="I120" s="230">
        <f t="shared" si="5"/>
        <v>7</v>
      </c>
      <c r="O120" s="172" t="str">
        <f>F13</f>
        <v>NA</v>
      </c>
      <c r="P120" s="172">
        <f>F12</f>
        <v>28</v>
      </c>
    </row>
    <row r="121" spans="2:16" hidden="1">
      <c r="B121" s="172" t="s">
        <v>923</v>
      </c>
      <c r="C121" s="228">
        <v>19</v>
      </c>
      <c r="D121" s="230">
        <f t="shared" si="6"/>
        <v>7</v>
      </c>
      <c r="F121" s="230"/>
      <c r="G121" s="172" t="s">
        <v>924</v>
      </c>
      <c r="H121" s="228">
        <v>18</v>
      </c>
      <c r="I121" s="230">
        <f t="shared" si="5"/>
        <v>7</v>
      </c>
      <c r="O121" s="172" t="str">
        <f>E13</f>
        <v>NA</v>
      </c>
      <c r="P121" s="172">
        <f>E12</f>
        <v>29</v>
      </c>
    </row>
    <row r="122" spans="2:16" hidden="1">
      <c r="B122" s="172" t="s">
        <v>924</v>
      </c>
      <c r="C122" s="228">
        <v>20</v>
      </c>
      <c r="D122" s="230">
        <f t="shared" si="6"/>
        <v>7</v>
      </c>
      <c r="F122" s="230"/>
      <c r="G122" s="172" t="s">
        <v>925</v>
      </c>
      <c r="H122" s="228">
        <v>19</v>
      </c>
      <c r="I122" s="230">
        <f t="shared" si="5"/>
        <v>7</v>
      </c>
      <c r="O122" s="172" t="str">
        <f>D13</f>
        <v>NA</v>
      </c>
      <c r="P122" s="172">
        <f>D12</f>
        <v>30</v>
      </c>
    </row>
    <row r="123" spans="2:16" hidden="1">
      <c r="B123" s="172" t="s">
        <v>925</v>
      </c>
      <c r="C123" s="228">
        <v>21</v>
      </c>
      <c r="D123" s="230">
        <f t="shared" si="6"/>
        <v>7</v>
      </c>
      <c r="F123" s="230"/>
      <c r="G123" s="172" t="s">
        <v>926</v>
      </c>
      <c r="H123" s="228">
        <v>20</v>
      </c>
      <c r="I123" s="230">
        <f t="shared" si="5"/>
        <v>7</v>
      </c>
      <c r="O123" s="172" t="str">
        <f>C13</f>
        <v>NA</v>
      </c>
      <c r="P123" s="172">
        <f>C12</f>
        <v>31</v>
      </c>
    </row>
    <row r="124" spans="2:16" hidden="1">
      <c r="B124" s="172" t="s">
        <v>926</v>
      </c>
      <c r="C124" s="228">
        <v>22</v>
      </c>
      <c r="D124" s="230">
        <f t="shared" si="6"/>
        <v>7</v>
      </c>
      <c r="F124" s="230"/>
      <c r="G124" s="172" t="s">
        <v>927</v>
      </c>
      <c r="H124" s="228">
        <v>21</v>
      </c>
      <c r="I124" s="230">
        <f t="shared" si="5"/>
        <v>15</v>
      </c>
    </row>
    <row r="125" spans="2:16" hidden="1">
      <c r="B125" s="172" t="s">
        <v>927</v>
      </c>
      <c r="C125" s="228">
        <v>23</v>
      </c>
      <c r="D125" s="230">
        <f t="shared" si="6"/>
        <v>15</v>
      </c>
      <c r="F125" s="230"/>
      <c r="G125" s="172" t="s">
        <v>928</v>
      </c>
      <c r="H125" s="228">
        <v>22</v>
      </c>
      <c r="I125" s="230">
        <f t="shared" si="5"/>
        <v>15</v>
      </c>
    </row>
    <row r="126" spans="2:16" hidden="1">
      <c r="B126" s="172" t="s">
        <v>928</v>
      </c>
      <c r="C126" s="362">
        <v>22</v>
      </c>
      <c r="D126" s="230">
        <f t="shared" si="6"/>
        <v>15</v>
      </c>
      <c r="F126" s="230"/>
      <c r="G126" s="172" t="s">
        <v>929</v>
      </c>
      <c r="H126" s="228">
        <v>23</v>
      </c>
      <c r="I126" s="230">
        <f t="shared" si="5"/>
        <v>15</v>
      </c>
    </row>
    <row r="127" spans="2:16" hidden="1">
      <c r="B127" s="172" t="s">
        <v>929</v>
      </c>
      <c r="C127" s="362">
        <v>23</v>
      </c>
      <c r="D127" s="230">
        <f t="shared" si="6"/>
        <v>15</v>
      </c>
      <c r="F127" s="230"/>
    </row>
    <row r="128" spans="2:16" hidden="1">
      <c r="F128" s="230"/>
    </row>
    <row r="129" spans="3:16" hidden="1"/>
    <row r="130" spans="3:16" hidden="1"/>
    <row r="131" spans="3:16" hidden="1"/>
    <row r="132" spans="3:16" hidden="1"/>
    <row r="133" spans="3:16" hidden="1">
      <c r="C133" s="229"/>
      <c r="D133" s="231" t="s">
        <v>970</v>
      </c>
    </row>
    <row r="134" spans="3:16" hidden="1">
      <c r="C134" s="229" t="s">
        <v>971</v>
      </c>
      <c r="D134" s="230">
        <f>IF(Memory_Type="DDR4",D94,I94)</f>
        <v>0</v>
      </c>
    </row>
    <row r="135" spans="3:16" hidden="1">
      <c r="C135" s="229" t="s">
        <v>972</v>
      </c>
      <c r="D135" s="230">
        <f>IF(Memory_Type="DDR4",D97,I96)</f>
        <v>0</v>
      </c>
    </row>
    <row r="136" spans="3:16" hidden="1">
      <c r="C136" s="229" t="s">
        <v>973</v>
      </c>
      <c r="D136" s="230">
        <f>IF(Memory_Type="DDR4",D100,I98)</f>
        <v>0</v>
      </c>
    </row>
    <row r="137" spans="3:16" hidden="1">
      <c r="C137" s="229" t="s">
        <v>974</v>
      </c>
      <c r="D137" s="230">
        <f>IF(Memory_Type="DDR4",D101,I100)</f>
        <v>0</v>
      </c>
    </row>
    <row r="138" spans="3:16" hidden="1">
      <c r="C138" s="229" t="s">
        <v>975</v>
      </c>
      <c r="D138" s="230">
        <f>IF(Memory_Type="DDR4",D102,I101)</f>
        <v>0</v>
      </c>
    </row>
    <row r="139" spans="3:16" hidden="1">
      <c r="C139" s="229" t="s">
        <v>976</v>
      </c>
      <c r="D139" s="230">
        <f>IF(Memory_Type="DDR4",D105,I104)</f>
        <v>0</v>
      </c>
    </row>
    <row r="140" spans="3:16" hidden="1">
      <c r="C140" s="229" t="s">
        <v>977</v>
      </c>
      <c r="D140" s="230">
        <f>IF(Memory_Type="DDR4",D108,I107)</f>
        <v>0</v>
      </c>
    </row>
    <row r="141" spans="3:16" hidden="1">
      <c r="C141" s="229" t="s">
        <v>978</v>
      </c>
      <c r="D141" s="230">
        <f>IF(Memory_Type="DDR4",D110,I109)</f>
        <v>0</v>
      </c>
      <c r="P141" s="228"/>
    </row>
    <row r="142" spans="3:16" hidden="1">
      <c r="C142" s="229" t="s">
        <v>979</v>
      </c>
      <c r="D142" s="230">
        <f>IF(Memory_Type="DDR4",D112,I111)</f>
        <v>31</v>
      </c>
    </row>
    <row r="143" spans="3:16" hidden="1">
      <c r="C143" s="229" t="s">
        <v>980</v>
      </c>
      <c r="D143" s="230">
        <f>IF(Memory_Type="DDR4",D114,I113)</f>
        <v>31</v>
      </c>
    </row>
    <row r="144" spans="3:16" hidden="1">
      <c r="C144" s="229" t="s">
        <v>981</v>
      </c>
      <c r="D144" s="230">
        <f>IF(Memory_Type="DDR4",D103,I103)</f>
        <v>7</v>
      </c>
    </row>
    <row r="145" spans="3:6" hidden="1">
      <c r="C145" s="229" t="s">
        <v>982</v>
      </c>
      <c r="D145" s="230">
        <f>IF(Memory_Type="DDR4",D106,I106)</f>
        <v>7</v>
      </c>
    </row>
    <row r="146" spans="3:6" hidden="1">
      <c r="C146" s="229" t="s">
        <v>708</v>
      </c>
      <c r="D146" s="230">
        <f>IF(Memory_Type="DDR4",D109,I108)</f>
        <v>7</v>
      </c>
      <c r="F146" s="229" t="s">
        <v>1007</v>
      </c>
    </row>
    <row r="147" spans="3:6" hidden="1">
      <c r="C147" s="229" t="s">
        <v>983</v>
      </c>
      <c r="D147" s="230">
        <f>IF(Memory_Type="DDR4",D111,I110)</f>
        <v>7</v>
      </c>
      <c r="F147" s="172" t="b">
        <f>COUNTIF(D146:D154,D146)=9</f>
        <v>1</v>
      </c>
    </row>
    <row r="148" spans="3:6" hidden="1">
      <c r="C148" s="229" t="s">
        <v>984</v>
      </c>
      <c r="D148" s="230">
        <f>IF(Memory_Type="DDR4",D113,I112)</f>
        <v>7</v>
      </c>
    </row>
    <row r="149" spans="3:6" hidden="1">
      <c r="C149" s="229" t="s">
        <v>985</v>
      </c>
      <c r="D149" s="230">
        <f t="shared" ref="D149:D161" si="7">IF(Memory_Type="DDR4",D115,I114)</f>
        <v>7</v>
      </c>
    </row>
    <row r="150" spans="3:6" hidden="1">
      <c r="C150" s="229" t="s">
        <v>986</v>
      </c>
      <c r="D150" s="230">
        <f t="shared" si="7"/>
        <v>7</v>
      </c>
    </row>
    <row r="151" spans="3:6" hidden="1">
      <c r="C151" s="229" t="s">
        <v>987</v>
      </c>
      <c r="D151" s="230">
        <f t="shared" si="7"/>
        <v>7</v>
      </c>
    </row>
    <row r="152" spans="3:6" hidden="1">
      <c r="C152" s="229" t="s">
        <v>988</v>
      </c>
      <c r="D152" s="230">
        <f t="shared" si="7"/>
        <v>7</v>
      </c>
    </row>
    <row r="153" spans="3:6" hidden="1">
      <c r="C153" s="229" t="s">
        <v>989</v>
      </c>
      <c r="D153" s="230">
        <f t="shared" si="7"/>
        <v>7</v>
      </c>
    </row>
    <row r="154" spans="3:6" hidden="1">
      <c r="C154" s="229" t="s">
        <v>990</v>
      </c>
      <c r="D154" s="230">
        <f t="shared" si="7"/>
        <v>7</v>
      </c>
    </row>
    <row r="155" spans="3:6" hidden="1">
      <c r="C155" s="229" t="s">
        <v>991</v>
      </c>
      <c r="D155" s="230">
        <f t="shared" si="7"/>
        <v>7</v>
      </c>
    </row>
    <row r="156" spans="3:6" hidden="1">
      <c r="C156" s="229" t="s">
        <v>992</v>
      </c>
      <c r="D156" s="230">
        <f t="shared" si="7"/>
        <v>7</v>
      </c>
    </row>
    <row r="157" spans="3:6" hidden="1">
      <c r="C157" s="229" t="s">
        <v>993</v>
      </c>
      <c r="D157" s="230">
        <f t="shared" si="7"/>
        <v>7</v>
      </c>
    </row>
    <row r="158" spans="3:6" hidden="1">
      <c r="C158" s="229" t="s">
        <v>994</v>
      </c>
      <c r="D158" s="230">
        <f t="shared" si="7"/>
        <v>7</v>
      </c>
    </row>
    <row r="159" spans="3:6" hidden="1">
      <c r="C159" s="229" t="s">
        <v>995</v>
      </c>
      <c r="D159" s="230">
        <f t="shared" si="7"/>
        <v>15</v>
      </c>
    </row>
    <row r="160" spans="3:6" hidden="1">
      <c r="C160" s="229" t="s">
        <v>996</v>
      </c>
      <c r="D160" s="230">
        <f t="shared" si="7"/>
        <v>15</v>
      </c>
    </row>
    <row r="161" spans="3:4" hidden="1">
      <c r="C161" s="229" t="s">
        <v>997</v>
      </c>
      <c r="D161" s="230">
        <f t="shared" si="7"/>
        <v>15</v>
      </c>
    </row>
    <row r="162" spans="3:4" hidden="1">
      <c r="C162" s="229" t="s">
        <v>998</v>
      </c>
      <c r="D162" s="230">
        <f>IF(Memory_Type="DDR4",D95,I95)</f>
        <v>8</v>
      </c>
    </row>
    <row r="163" spans="3:4" hidden="1">
      <c r="C163" s="229" t="s">
        <v>999</v>
      </c>
      <c r="D163" s="230">
        <f>IF(Memory_Type="DDR4",D98,I97)</f>
        <v>8</v>
      </c>
    </row>
    <row r="164" spans="3:4" hidden="1">
      <c r="C164" s="229" t="s">
        <v>1004</v>
      </c>
      <c r="D164" s="230">
        <f>IF(Memory_Type="DDR4",63,I99)</f>
        <v>63</v>
      </c>
    </row>
    <row r="165" spans="3:4" hidden="1">
      <c r="C165" s="229" t="s">
        <v>1000</v>
      </c>
      <c r="D165" s="230">
        <f>IF(Memory_Type="DDR4",D96,63)</f>
        <v>10</v>
      </c>
    </row>
    <row r="166" spans="3:4" hidden="1">
      <c r="C166" s="229" t="s">
        <v>1001</v>
      </c>
      <c r="D166" s="230">
        <f>IF(Memory_Type="DDR4",D99,63)</f>
        <v>63</v>
      </c>
    </row>
    <row r="167" spans="3:4" hidden="1">
      <c r="C167" s="229" t="s">
        <v>1002</v>
      </c>
      <c r="D167" s="230">
        <f>IF(Memory_Type="DDR4",D104,I102)</f>
        <v>31</v>
      </c>
    </row>
    <row r="168" spans="3:4" hidden="1">
      <c r="C168" s="229" t="s">
        <v>1003</v>
      </c>
      <c r="D168" s="230">
        <f>IF(Memory_Type="DDR4",D107,I105)</f>
        <v>31</v>
      </c>
    </row>
    <row r="169" spans="3:4" hidden="1"/>
    <row r="170" spans="3:4" hidden="1"/>
  </sheetData>
  <sheetProtection password="8E0D" sheet="1" objects="1" scenarios="1"/>
  <mergeCells count="2">
    <mergeCell ref="A1:AI3"/>
    <mergeCell ref="A4:AH5"/>
  </mergeCells>
  <phoneticPr fontId="59" type="noConversion"/>
  <conditionalFormatting sqref="C13:AF13">
    <cfRule type="expression" dxfId="0" priority="17">
      <formula>C$19=1</formula>
    </cfRule>
  </conditionalFormatting>
  <dataValidations count="5">
    <dataValidation type="list" allowBlank="1" showInputMessage="1" showErrorMessage="1" sqref="Q14:AF14 C13:AF13" xr:uid="{00000000-0002-0000-0300-000000000000}">
      <formula1>INDIRECT(C20)</formula1>
    </dataValidation>
    <dataValidation type="list" allowBlank="1" showInputMessage="1" showErrorMessage="1" sqref="P14" xr:uid="{00000000-0002-0000-0300-000001000000}">
      <formula1>IF(Memory_Type="DDR4",$B$94:$B$124,$G$94:$G$123)</formula1>
    </dataValidation>
    <dataValidation type="list" allowBlank="1" showInputMessage="1" showErrorMessage="1" sqref="O14" xr:uid="{00000000-0002-0000-0300-000002000000}">
      <formula1>IF(Memory_Type="DDR4",$B$94:$B$125,$G$94:$G$124)</formula1>
    </dataValidation>
    <dataValidation type="list" allowBlank="1" showInputMessage="1" showErrorMessage="1" sqref="E14:M14" xr:uid="{00000000-0002-0000-0300-000003000000}">
      <formula1>IF(Memory_Type="DDR4",$B$94:$B$127,$G$94:$G$126)</formula1>
    </dataValidation>
    <dataValidation type="list" allowBlank="1" showInputMessage="1" showErrorMessage="1" sqref="N14" xr:uid="{00000000-0002-0000-0300-000004000000}">
      <formula1>IF(Memory_Type="DDR4",$B$94:$B$126,$G$94:$G$125)</formula1>
    </dataValidation>
  </dataValidations>
  <hyperlinks>
    <hyperlink ref="A10" r:id="rId1" xr:uid="{00000000-0004-0000-0300-000000000000}"/>
  </hyperlinks>
  <pageMargins left="0.7" right="0.7" top="0.75" bottom="0.75" header="0.3" footer="0.3"/>
  <pageSetup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tabColor rgb="FFFFFF66"/>
  </sheetPr>
  <dimension ref="A1:AG295"/>
  <sheetViews>
    <sheetView topLeftCell="A16" zoomScaleNormal="100" workbookViewId="0">
      <selection activeCell="C29" sqref="C29"/>
    </sheetView>
  </sheetViews>
  <sheetFormatPr defaultColWidth="9.140625" defaultRowHeight="13.5"/>
  <cols>
    <col min="1" max="1" width="11.42578125" style="77" bestFit="1" customWidth="1"/>
    <col min="2" max="2" width="12.85546875" style="77" customWidth="1"/>
    <col min="3" max="3" width="9.85546875" style="77" customWidth="1"/>
    <col min="4" max="4" width="9.140625" style="77"/>
    <col min="5" max="5" width="10.140625" style="77" customWidth="1"/>
    <col min="6" max="11" width="9.140625" style="77"/>
    <col min="12" max="12" width="13.42578125" style="77" customWidth="1"/>
    <col min="13" max="16" width="9.140625" style="77"/>
    <col min="17" max="17" width="17" style="77" customWidth="1"/>
    <col min="18" max="18" width="13.28515625" style="77" customWidth="1"/>
    <col min="19" max="19" width="11.140625" style="77" customWidth="1"/>
    <col min="20" max="20" width="15.7109375" style="77" customWidth="1"/>
    <col min="21" max="21" width="17" style="77" customWidth="1"/>
    <col min="22" max="22" width="15.5703125" style="77" customWidth="1"/>
    <col min="23" max="23" width="11.5703125" style="77" customWidth="1"/>
    <col min="24" max="24" width="14.140625" style="77" customWidth="1"/>
    <col min="25" max="27" width="9.140625" style="77"/>
    <col min="28" max="28" width="14.28515625" style="77" customWidth="1"/>
    <col min="29" max="29" width="14" style="77" customWidth="1"/>
    <col min="30" max="31" width="9.140625" style="77"/>
    <col min="32" max="32" width="10.28515625" style="77" customWidth="1"/>
    <col min="33" max="33" width="17.5703125" style="77" customWidth="1"/>
    <col min="34" max="16384" width="9.140625" style="77"/>
  </cols>
  <sheetData>
    <row r="1" spans="1:11">
      <c r="B1" s="89"/>
    </row>
    <row r="2" spans="1:11">
      <c r="A2" s="77" t="s">
        <v>1024</v>
      </c>
    </row>
    <row r="3" spans="1:11">
      <c r="E3" s="83" t="s">
        <v>1023</v>
      </c>
    </row>
    <row r="4" spans="1:11">
      <c r="A4" s="88"/>
      <c r="B4" s="96" t="s">
        <v>1042</v>
      </c>
      <c r="C4" s="88" t="s">
        <v>1022</v>
      </c>
      <c r="E4" s="87" t="s">
        <v>1021</v>
      </c>
    </row>
    <row r="5" spans="1:11">
      <c r="A5" s="84" t="s">
        <v>1020</v>
      </c>
      <c r="B5" s="85">
        <f>AM65x_Ron_DQ_value</f>
        <v>48</v>
      </c>
      <c r="C5" s="86">
        <f>DRAM_Ron_value</f>
        <v>34.299999999999997</v>
      </c>
    </row>
    <row r="6" spans="1:11">
      <c r="A6" s="84" t="s">
        <v>1019</v>
      </c>
      <c r="B6" s="86">
        <f>AM65x_Rtt_value</f>
        <v>60</v>
      </c>
      <c r="C6" s="85">
        <f>DRAM_Rtt_value</f>
        <v>48</v>
      </c>
    </row>
    <row r="7" spans="1:11">
      <c r="A7" s="84" t="s">
        <v>1018</v>
      </c>
      <c r="B7" s="84">
        <v>1.2</v>
      </c>
      <c r="C7" s="84">
        <v>1.2</v>
      </c>
    </row>
    <row r="10" spans="1:11">
      <c r="A10" s="77" t="s">
        <v>1017</v>
      </c>
      <c r="B10" s="77">
        <f>B7*(1-B6/(2*(B6+C5)))/2</f>
        <v>0.40911983032873805</v>
      </c>
      <c r="C10" s="82"/>
    </row>
    <row r="11" spans="1:11" hidden="1">
      <c r="B11" s="77">
        <f>B10/B7</f>
        <v>0.34093319194061505</v>
      </c>
      <c r="C11" s="82"/>
    </row>
    <row r="12" spans="1:11">
      <c r="A12" s="77" t="s">
        <v>1016</v>
      </c>
      <c r="B12" s="91">
        <f>B11*100</f>
        <v>34.093319194061507</v>
      </c>
      <c r="C12" s="82" t="s">
        <v>1039</v>
      </c>
    </row>
    <row r="13" spans="1:11">
      <c r="B13" s="77">
        <f>B12*2</f>
        <v>68.186638388123015</v>
      </c>
      <c r="C13" s="78" t="s">
        <v>1038</v>
      </c>
    </row>
    <row r="15" spans="1:11">
      <c r="A15" s="81" t="s">
        <v>1015</v>
      </c>
      <c r="B15" s="81"/>
      <c r="C15" s="81"/>
      <c r="F15" s="92" t="s">
        <v>1015</v>
      </c>
      <c r="G15" s="81"/>
      <c r="H15" s="81"/>
      <c r="I15" s="81"/>
      <c r="J15" s="81"/>
      <c r="K15" s="81"/>
    </row>
    <row r="16" spans="1:11" ht="14.25">
      <c r="A16" s="78" t="s">
        <v>1037</v>
      </c>
      <c r="F16" s="80" t="s">
        <v>1014</v>
      </c>
    </row>
    <row r="17" spans="1:21" ht="27">
      <c r="B17" s="79" t="s">
        <v>1013</v>
      </c>
      <c r="C17" s="77">
        <f>B7</f>
        <v>1.2</v>
      </c>
    </row>
    <row r="18" spans="1:21">
      <c r="B18" s="77" t="s">
        <v>1010</v>
      </c>
      <c r="C18" s="77">
        <f>B7*C5/(C5+B6)</f>
        <v>0.43647932131495226</v>
      </c>
      <c r="Q18" s="409" t="s">
        <v>2380</v>
      </c>
      <c r="T18" s="409" t="s">
        <v>2381</v>
      </c>
    </row>
    <row r="19" spans="1:21">
      <c r="B19" s="77" t="s">
        <v>1009</v>
      </c>
      <c r="C19" s="77">
        <f>((C17-C18)/2)+C18</f>
        <v>0.81823966065747611</v>
      </c>
      <c r="E19" s="77" t="s">
        <v>1009</v>
      </c>
      <c r="F19" s="77">
        <f>B7-(B7*B6/(C5+B6))/2</f>
        <v>0.81823966065747611</v>
      </c>
      <c r="K19" s="77" t="s">
        <v>1027</v>
      </c>
      <c r="L19" s="93" t="s">
        <v>1041</v>
      </c>
      <c r="Q19" s="101" t="s">
        <v>1085</v>
      </c>
      <c r="R19" s="101" t="s">
        <v>1086</v>
      </c>
      <c r="T19" s="409" t="s">
        <v>1085</v>
      </c>
      <c r="U19" s="409" t="s">
        <v>1086</v>
      </c>
    </row>
    <row r="20" spans="1:21">
      <c r="B20" s="77" t="s">
        <v>1008</v>
      </c>
      <c r="C20" s="77">
        <f>C19*100/B7</f>
        <v>68.186638388123015</v>
      </c>
      <c r="H20" s="103" t="s">
        <v>1204</v>
      </c>
      <c r="J20" s="90">
        <f t="array" ref="J20">IF(Memory_Type="DDR4",MIN(IF(K40:K295&gt;=C21,K40:K295)),MIN(IF(L40:L295&gt;=C21,L40:L295)))</f>
        <v>34.19</v>
      </c>
      <c r="K20" s="77">
        <f>ABS(C21-J20)</f>
        <v>9.6680805938490266E-2</v>
      </c>
      <c r="Q20" s="95">
        <f>B5</f>
        <v>48</v>
      </c>
      <c r="R20" s="95">
        <f>IF(Memory_Type="DDR4",VLOOKUP($Q$20,$S$40:$T$41,2,FALSE),VLOOKUP($Q$20,$W$40:$X$41,2,FALSE))</f>
        <v>9</v>
      </c>
      <c r="T20" s="77">
        <f>AM65x_Ron_AC_value</f>
        <v>34.299999999999997</v>
      </c>
      <c r="U20" s="77">
        <f>IF(Memory_Type="DDR4",VLOOKUP($T$20,$S$40:$T$41,2,FALSE),VLOOKUP($T$20,$W$40:$X$41,2,FALSE))</f>
        <v>13</v>
      </c>
    </row>
    <row r="21" spans="1:21">
      <c r="C21" s="77">
        <f>C20/2</f>
        <v>34.093319194061507</v>
      </c>
      <c r="D21" s="97"/>
      <c r="H21" s="77" t="s">
        <v>1026</v>
      </c>
      <c r="J21" s="77">
        <f t="array" ref="J21">IF(Memory_Type="DDR4",MAX(IF(K40:K295&lt;C21,K40:K295)),MAX(IF(L40:L295&lt;C21,L40:L295)))</f>
        <v>33.81</v>
      </c>
      <c r="K21" s="77">
        <f>ABS(C21-J21)</f>
        <v>0.28331919406150519</v>
      </c>
      <c r="Q21" s="95"/>
      <c r="R21" s="95"/>
    </row>
    <row r="22" spans="1:21">
      <c r="H22" s="77" t="s">
        <v>1036</v>
      </c>
      <c r="K22" s="90">
        <f>IF(K20&lt;K21,J20,J21)</f>
        <v>34.19</v>
      </c>
      <c r="Q22" s="101" t="s">
        <v>42</v>
      </c>
      <c r="R22" s="95"/>
    </row>
    <row r="23" spans="1:21">
      <c r="H23" s="97" t="s">
        <v>1035</v>
      </c>
      <c r="K23" s="77">
        <f>IF(Memory_Type="DDR4",VLOOKUP(K22,K40:N295,3,FALSE),VLOOKUP(K22,L40:N295,2,FALSE))</f>
        <v>1</v>
      </c>
      <c r="L23" s="95" t="str">
        <f>BIN2HEX(K23)</f>
        <v>1</v>
      </c>
      <c r="Q23" s="95">
        <f>B6</f>
        <v>60</v>
      </c>
      <c r="R23" s="95">
        <f>IF(Memory_Type="DDR4",VLOOKUP(Q23,Q40:R47,2,FALSE),VLOOKUP(Q23,U40:V43,2,FALSE))</f>
        <v>7</v>
      </c>
    </row>
    <row r="24" spans="1:21">
      <c r="H24" s="97" t="s">
        <v>1034</v>
      </c>
      <c r="K24" s="77">
        <f>IF(Memory_Type="DDR4",VLOOKUP(K22,K41:N296,4,FALSE),VLOOKUP(K22,L41:N296,3,FALSE))</f>
        <v>1001001</v>
      </c>
      <c r="L24" s="95" t="str">
        <f>BIN2HEX(K24)</f>
        <v>49</v>
      </c>
      <c r="Q24" s="95"/>
      <c r="R24" s="95"/>
    </row>
    <row r="25" spans="1:21">
      <c r="A25" s="78" t="s">
        <v>1012</v>
      </c>
      <c r="Q25" s="95"/>
      <c r="R25" s="95"/>
    </row>
    <row r="26" spans="1:21">
      <c r="B26" s="77" t="s">
        <v>1011</v>
      </c>
      <c r="C26" s="77">
        <f>B7</f>
        <v>1.2</v>
      </c>
      <c r="Q26" s="95"/>
      <c r="R26" s="95"/>
    </row>
    <row r="27" spans="1:21">
      <c r="B27" s="77" t="s">
        <v>1010</v>
      </c>
      <c r="C27" s="77">
        <f>B7*B5/(B5+C6)</f>
        <v>0.6</v>
      </c>
      <c r="Q27" s="101" t="s">
        <v>1085</v>
      </c>
      <c r="R27" s="101" t="s">
        <v>1086</v>
      </c>
    </row>
    <row r="28" spans="1:21">
      <c r="B28" s="77" t="s">
        <v>1009</v>
      </c>
      <c r="C28" s="77">
        <f>((C26-C27)/2)+C27</f>
        <v>0.89999999999999991</v>
      </c>
      <c r="K28" s="77" t="s">
        <v>1027</v>
      </c>
      <c r="L28" s="94" t="s">
        <v>1040</v>
      </c>
      <c r="Q28" s="95">
        <f>C5</f>
        <v>34.299999999999997</v>
      </c>
      <c r="R28" s="95">
        <f>IF(Memory_Type="DDR4",VLOOKUP(Q28,AA40:AB41,2,FALSE),VLOOKUP(Q28,AF40:AG41,2,FALSE))</f>
        <v>0</v>
      </c>
    </row>
    <row r="29" spans="1:21">
      <c r="B29" s="77" t="s">
        <v>1008</v>
      </c>
      <c r="C29" s="77">
        <f>C28*100/1.2</f>
        <v>74.999999999999986</v>
      </c>
      <c r="H29" s="103" t="s">
        <v>1204</v>
      </c>
      <c r="J29" s="90">
        <f t="array" ref="J29">MIN(IF(B40:B141&gt;=C29,B40:B141))</f>
        <v>75.55</v>
      </c>
      <c r="K29" s="77">
        <f>ABS(C29-J29)</f>
        <v>0.55000000000001137</v>
      </c>
      <c r="L29" s="95"/>
      <c r="Q29" s="101"/>
      <c r="R29" s="95"/>
    </row>
    <row r="30" spans="1:21">
      <c r="H30" s="77" t="s">
        <v>1026</v>
      </c>
      <c r="J30" s="77">
        <f t="array" ref="J30">MAX(IF(B40:B141&lt;C29,B40:B141))</f>
        <v>74.95</v>
      </c>
      <c r="K30" s="77">
        <f>ABS(C29-J30)</f>
        <v>4.9999999999982947E-2</v>
      </c>
      <c r="L30" s="95"/>
      <c r="Q30" s="101" t="s">
        <v>42</v>
      </c>
      <c r="R30" s="95"/>
    </row>
    <row r="31" spans="1:21">
      <c r="H31" s="77" t="s">
        <v>1028</v>
      </c>
      <c r="K31" s="90">
        <f>IF(K29&lt;K30,J29,J30)</f>
        <v>74.95</v>
      </c>
      <c r="L31" s="95"/>
      <c r="Q31" s="95">
        <f>C6</f>
        <v>48</v>
      </c>
      <c r="R31" s="95">
        <f>IF(Memory_Type="DDR4",VLOOKUP(Q31,AA44:AB51,2,FALSE),VLOOKUP(Q31,AF44:AG49,2,FALSE))</f>
        <v>5</v>
      </c>
    </row>
    <row r="32" spans="1:21">
      <c r="H32" s="77" t="s">
        <v>1029</v>
      </c>
      <c r="K32" s="77">
        <f>VLOOKUP(K31,B40:D141,2,FALSE)</f>
        <v>0</v>
      </c>
      <c r="L32" s="95" t="str">
        <f>BIN2HEX(K32)</f>
        <v>0</v>
      </c>
    </row>
    <row r="33" spans="2:33">
      <c r="H33" s="77" t="s">
        <v>1030</v>
      </c>
      <c r="K33" s="77">
        <f>VLOOKUP(K31,B40:D141,3,FALSE)</f>
        <v>10111</v>
      </c>
      <c r="L33" s="95" t="str">
        <f>BIN2HEX(K33)</f>
        <v>17</v>
      </c>
    </row>
    <row r="38" spans="2:33">
      <c r="B38" s="97" t="s">
        <v>1146</v>
      </c>
      <c r="I38" s="129" t="s">
        <v>1361</v>
      </c>
      <c r="Q38" s="377" t="s">
        <v>1548</v>
      </c>
      <c r="R38" s="99"/>
      <c r="S38" s="99"/>
      <c r="T38" s="99"/>
      <c r="U38" s="377" t="s">
        <v>1549</v>
      </c>
      <c r="V38" s="99"/>
      <c r="W38" s="98"/>
      <c r="X38" s="99"/>
      <c r="Z38" s="98" t="s">
        <v>153</v>
      </c>
      <c r="AA38" s="99"/>
      <c r="AB38" s="98"/>
      <c r="AC38" s="97"/>
      <c r="AE38" s="98" t="s">
        <v>134</v>
      </c>
      <c r="AF38" s="99"/>
      <c r="AG38" s="98"/>
    </row>
    <row r="39" spans="2:33" ht="54">
      <c r="B39" s="77" t="s">
        <v>1032</v>
      </c>
      <c r="C39" s="77" t="s">
        <v>1025</v>
      </c>
      <c r="D39" s="77" t="s">
        <v>1031</v>
      </c>
      <c r="K39" s="77" t="s">
        <v>153</v>
      </c>
      <c r="L39" s="77" t="s">
        <v>154</v>
      </c>
      <c r="M39" s="77" t="s">
        <v>1033</v>
      </c>
      <c r="Q39" s="376" t="s">
        <v>1546</v>
      </c>
      <c r="R39" s="376" t="s">
        <v>1084</v>
      </c>
      <c r="S39" s="376" t="s">
        <v>1547</v>
      </c>
      <c r="T39" s="376" t="s">
        <v>1084</v>
      </c>
      <c r="U39" s="376" t="s">
        <v>1546</v>
      </c>
      <c r="V39" s="101" t="s">
        <v>1084</v>
      </c>
      <c r="W39" s="376" t="s">
        <v>1547</v>
      </c>
      <c r="X39" s="101" t="s">
        <v>1084</v>
      </c>
      <c r="Z39" s="102" t="s">
        <v>1085</v>
      </c>
      <c r="AA39" s="99"/>
      <c r="AB39" s="97" t="s">
        <v>1173</v>
      </c>
      <c r="AE39" s="102" t="s">
        <v>1085</v>
      </c>
      <c r="AF39" s="99"/>
      <c r="AG39" s="101" t="s">
        <v>1173</v>
      </c>
    </row>
    <row r="40" spans="2:33">
      <c r="B40" s="77">
        <v>60</v>
      </c>
      <c r="C40" s="77">
        <v>0</v>
      </c>
      <c r="D40" s="77">
        <v>0</v>
      </c>
      <c r="K40" s="77">
        <v>7.73</v>
      </c>
      <c r="L40" s="77">
        <v>7.73</v>
      </c>
      <c r="M40" s="77">
        <v>1</v>
      </c>
      <c r="N40" s="77">
        <v>0</v>
      </c>
      <c r="Q40" s="95">
        <v>240</v>
      </c>
      <c r="R40" s="95">
        <v>1</v>
      </c>
      <c r="S40" s="95">
        <v>48</v>
      </c>
      <c r="T40" s="95">
        <v>9</v>
      </c>
      <c r="U40" s="95">
        <v>120</v>
      </c>
      <c r="V40" s="95">
        <v>3</v>
      </c>
      <c r="W40" s="95">
        <v>40</v>
      </c>
      <c r="X40" s="95">
        <v>11</v>
      </c>
      <c r="Z40" s="101" t="s">
        <v>39</v>
      </c>
      <c r="AA40" s="101">
        <v>34.299999999999997</v>
      </c>
      <c r="AB40" s="95">
        <v>0</v>
      </c>
      <c r="AE40" s="101" t="s">
        <v>39</v>
      </c>
      <c r="AF40" s="101">
        <v>34.299999999999997</v>
      </c>
      <c r="AG40" s="95">
        <v>1</v>
      </c>
    </row>
    <row r="41" spans="2:33">
      <c r="B41" s="77">
        <v>60.65</v>
      </c>
      <c r="C41" s="77">
        <v>0</v>
      </c>
      <c r="D41" s="77">
        <v>1</v>
      </c>
      <c r="K41" s="77">
        <v>8.11</v>
      </c>
      <c r="L41" s="77">
        <v>8.11</v>
      </c>
      <c r="M41" s="77">
        <v>1</v>
      </c>
      <c r="N41" s="77">
        <v>1</v>
      </c>
      <c r="Q41" s="95">
        <v>120</v>
      </c>
      <c r="R41" s="95">
        <v>3</v>
      </c>
      <c r="S41" s="95">
        <v>34.299999999999997</v>
      </c>
      <c r="T41" s="95">
        <v>13</v>
      </c>
      <c r="U41" s="95">
        <v>60</v>
      </c>
      <c r="V41" s="95">
        <v>7</v>
      </c>
      <c r="W41" s="95">
        <v>34.299999999999997</v>
      </c>
      <c r="X41" s="95">
        <v>13</v>
      </c>
      <c r="Z41" s="101" t="s">
        <v>1103</v>
      </c>
      <c r="AA41" s="101">
        <v>48</v>
      </c>
      <c r="AB41" s="95">
        <v>1</v>
      </c>
      <c r="AE41" s="101" t="s">
        <v>78</v>
      </c>
      <c r="AF41" s="101">
        <v>40</v>
      </c>
      <c r="AG41" s="95">
        <v>0</v>
      </c>
    </row>
    <row r="42" spans="2:33">
      <c r="B42" s="77">
        <v>61.3</v>
      </c>
      <c r="C42" s="77">
        <v>0</v>
      </c>
      <c r="D42" s="77">
        <v>10</v>
      </c>
      <c r="K42" s="77">
        <v>8.4700000000000006</v>
      </c>
      <c r="L42" s="77">
        <v>8.4700000000000006</v>
      </c>
      <c r="M42" s="77">
        <v>1</v>
      </c>
      <c r="N42" s="77">
        <v>10</v>
      </c>
      <c r="Q42" s="95">
        <v>80</v>
      </c>
      <c r="R42" s="95">
        <v>5</v>
      </c>
      <c r="S42" s="95"/>
      <c r="T42" s="95"/>
      <c r="U42" s="95">
        <v>40</v>
      </c>
      <c r="V42" s="95">
        <v>11</v>
      </c>
      <c r="W42" s="95"/>
      <c r="X42" s="95"/>
      <c r="Z42" s="101"/>
      <c r="AA42" s="101"/>
      <c r="AB42" s="95"/>
      <c r="AE42" s="101"/>
      <c r="AF42" s="101"/>
      <c r="AG42" s="95"/>
    </row>
    <row r="43" spans="2:33">
      <c r="B43" s="77">
        <v>61.95</v>
      </c>
      <c r="C43" s="77">
        <v>0</v>
      </c>
      <c r="D43" s="77">
        <v>11</v>
      </c>
      <c r="K43" s="77">
        <v>8.85</v>
      </c>
      <c r="L43" s="77">
        <v>8.85</v>
      </c>
      <c r="M43" s="77">
        <v>1</v>
      </c>
      <c r="N43" s="77">
        <v>11</v>
      </c>
      <c r="Q43" s="95">
        <v>60</v>
      </c>
      <c r="R43" s="95">
        <v>7</v>
      </c>
      <c r="S43" s="95"/>
      <c r="T43" s="95"/>
      <c r="U43" s="380" t="s">
        <v>1101</v>
      </c>
      <c r="V43" s="380" t="s">
        <v>1101</v>
      </c>
      <c r="W43" s="95"/>
      <c r="X43" s="95"/>
      <c r="Z43" s="98" t="s">
        <v>42</v>
      </c>
      <c r="AA43" s="99"/>
      <c r="AB43" s="97" t="s">
        <v>1173</v>
      </c>
      <c r="AE43" s="98" t="s">
        <v>42</v>
      </c>
      <c r="AF43" s="99"/>
      <c r="AG43" s="101" t="s">
        <v>1173</v>
      </c>
    </row>
    <row r="44" spans="2:33">
      <c r="B44" s="77">
        <v>62.6</v>
      </c>
      <c r="C44" s="77">
        <v>0</v>
      </c>
      <c r="D44" s="77">
        <v>100</v>
      </c>
      <c r="K44" s="77">
        <v>9.2100000000000009</v>
      </c>
      <c r="L44" s="77">
        <v>9.2100000000000009</v>
      </c>
      <c r="M44" s="77">
        <v>1</v>
      </c>
      <c r="N44" s="77">
        <v>100</v>
      </c>
      <c r="Q44" s="95">
        <v>48</v>
      </c>
      <c r="R44" s="95">
        <v>9</v>
      </c>
      <c r="Z44" s="101" t="s">
        <v>1101</v>
      </c>
      <c r="AA44" s="101" t="s">
        <v>1101</v>
      </c>
      <c r="AB44" s="95">
        <v>0</v>
      </c>
      <c r="AE44" s="101" t="s">
        <v>1101</v>
      </c>
      <c r="AF44" s="101" t="s">
        <v>1101</v>
      </c>
      <c r="AG44" s="95">
        <v>0</v>
      </c>
    </row>
    <row r="45" spans="2:33">
      <c r="B45" s="77">
        <v>63.25</v>
      </c>
      <c r="C45" s="77">
        <v>0</v>
      </c>
      <c r="D45" s="77">
        <v>101</v>
      </c>
      <c r="K45" s="77">
        <v>9.58</v>
      </c>
      <c r="L45" s="77">
        <v>9.59</v>
      </c>
      <c r="M45" s="77">
        <v>1</v>
      </c>
      <c r="N45" s="77">
        <v>101</v>
      </c>
      <c r="Q45" s="95">
        <v>40</v>
      </c>
      <c r="R45" s="95">
        <v>11</v>
      </c>
      <c r="Z45" s="101" t="s">
        <v>34</v>
      </c>
      <c r="AA45" s="95">
        <v>60</v>
      </c>
      <c r="AB45" s="95">
        <v>1</v>
      </c>
      <c r="AE45" s="101" t="s">
        <v>34</v>
      </c>
      <c r="AF45" s="95">
        <v>60</v>
      </c>
      <c r="AG45" s="95">
        <v>1</v>
      </c>
    </row>
    <row r="46" spans="2:33">
      <c r="B46" s="77">
        <v>63.9</v>
      </c>
      <c r="C46" s="77">
        <v>0</v>
      </c>
      <c r="D46" s="77">
        <v>110</v>
      </c>
      <c r="K46" s="77">
        <v>9.9499999999999993</v>
      </c>
      <c r="L46" s="77">
        <v>9.9600000000000009</v>
      </c>
      <c r="M46" s="77">
        <v>1</v>
      </c>
      <c r="N46" s="77">
        <v>110</v>
      </c>
      <c r="Q46" s="95">
        <v>34.299999999999997</v>
      </c>
      <c r="R46" s="95">
        <v>13</v>
      </c>
      <c r="Z46" s="101" t="s">
        <v>79</v>
      </c>
      <c r="AA46" s="95">
        <v>120</v>
      </c>
      <c r="AB46" s="95">
        <v>2</v>
      </c>
      <c r="AE46" s="101" t="s">
        <v>79</v>
      </c>
      <c r="AF46" s="95">
        <v>120</v>
      </c>
      <c r="AG46" s="95">
        <v>2</v>
      </c>
    </row>
    <row r="47" spans="2:33">
      <c r="B47" s="77">
        <v>64.55</v>
      </c>
      <c r="C47" s="77">
        <v>0</v>
      </c>
      <c r="D47" s="77">
        <v>111</v>
      </c>
      <c r="K47" s="77">
        <v>10.33</v>
      </c>
      <c r="L47" s="77">
        <v>10.33</v>
      </c>
      <c r="M47" s="77">
        <v>1</v>
      </c>
      <c r="N47" s="77">
        <v>111</v>
      </c>
      <c r="Q47" s="380" t="s">
        <v>1101</v>
      </c>
      <c r="R47" s="380" t="s">
        <v>1101</v>
      </c>
      <c r="Z47" s="101" t="s">
        <v>78</v>
      </c>
      <c r="AA47" s="95">
        <v>40</v>
      </c>
      <c r="AB47" s="95">
        <v>3</v>
      </c>
      <c r="AE47" s="101" t="s">
        <v>78</v>
      </c>
      <c r="AF47" s="95">
        <v>40</v>
      </c>
      <c r="AG47" s="95">
        <v>3</v>
      </c>
    </row>
    <row r="48" spans="2:33">
      <c r="B48" s="77">
        <v>65.2</v>
      </c>
      <c r="C48" s="77">
        <v>0</v>
      </c>
      <c r="D48" s="77">
        <v>1000</v>
      </c>
      <c r="K48" s="77">
        <v>10.65</v>
      </c>
      <c r="L48" s="77">
        <v>10.65</v>
      </c>
      <c r="M48" s="77">
        <v>1</v>
      </c>
      <c r="N48" s="77">
        <v>1000</v>
      </c>
      <c r="Z48" s="101" t="s">
        <v>1102</v>
      </c>
      <c r="AA48" s="95">
        <v>240</v>
      </c>
      <c r="AB48" s="95">
        <v>4</v>
      </c>
      <c r="AE48" s="408" t="s">
        <v>81</v>
      </c>
      <c r="AF48" s="95">
        <v>20</v>
      </c>
      <c r="AG48" s="95">
        <v>4</v>
      </c>
    </row>
    <row r="49" spans="2:33">
      <c r="B49" s="77">
        <v>65.849999999999994</v>
      </c>
      <c r="C49" s="77">
        <v>0</v>
      </c>
      <c r="D49" s="77">
        <v>1001</v>
      </c>
      <c r="K49" s="77">
        <v>11.03</v>
      </c>
      <c r="L49" s="77">
        <v>11.03</v>
      </c>
      <c r="M49" s="77">
        <v>1</v>
      </c>
      <c r="N49" s="77">
        <v>1001</v>
      </c>
      <c r="Z49" s="101" t="s">
        <v>1103</v>
      </c>
      <c r="AA49" s="95">
        <v>48</v>
      </c>
      <c r="AB49" s="95">
        <v>5</v>
      </c>
      <c r="AE49" s="101" t="s">
        <v>80</v>
      </c>
      <c r="AF49" s="95">
        <v>30</v>
      </c>
      <c r="AG49" s="95">
        <v>5</v>
      </c>
    </row>
    <row r="50" spans="2:33">
      <c r="B50" s="77">
        <v>66.5</v>
      </c>
      <c r="C50" s="77">
        <v>0</v>
      </c>
      <c r="D50" s="77">
        <v>1010</v>
      </c>
      <c r="K50" s="77">
        <v>11.39</v>
      </c>
      <c r="L50" s="77">
        <v>11.4</v>
      </c>
      <c r="M50" s="77">
        <v>1</v>
      </c>
      <c r="N50" s="77">
        <v>1010</v>
      </c>
      <c r="Z50" s="101" t="s">
        <v>1104</v>
      </c>
      <c r="AA50" s="95">
        <v>80</v>
      </c>
      <c r="AB50" s="95">
        <v>6</v>
      </c>
    </row>
    <row r="51" spans="2:33">
      <c r="B51" s="77">
        <v>67.150000000000006</v>
      </c>
      <c r="C51" s="77">
        <v>0</v>
      </c>
      <c r="D51" s="77">
        <v>1011</v>
      </c>
      <c r="K51" s="77">
        <v>11.77</v>
      </c>
      <c r="L51" s="77">
        <v>11.78</v>
      </c>
      <c r="M51" s="77">
        <v>1</v>
      </c>
      <c r="N51" s="77">
        <v>1011</v>
      </c>
      <c r="Z51" s="101" t="s">
        <v>39</v>
      </c>
      <c r="AA51" s="95">
        <v>34.299999999999997</v>
      </c>
      <c r="AB51" s="95">
        <v>7</v>
      </c>
    </row>
    <row r="52" spans="2:33">
      <c r="B52" s="77">
        <v>67.8</v>
      </c>
      <c r="C52" s="77">
        <v>0</v>
      </c>
      <c r="D52" s="77">
        <v>1100</v>
      </c>
      <c r="K52" s="77">
        <v>12.13</v>
      </c>
      <c r="L52" s="77">
        <v>12.14</v>
      </c>
      <c r="M52" s="77">
        <v>1</v>
      </c>
      <c r="N52" s="77">
        <v>1100</v>
      </c>
      <c r="Z52" s="97"/>
    </row>
    <row r="53" spans="2:33">
      <c r="B53" s="77">
        <v>68.45</v>
      </c>
      <c r="C53" s="77">
        <v>0</v>
      </c>
      <c r="D53" s="77">
        <v>1101</v>
      </c>
      <c r="K53" s="77">
        <v>12.51</v>
      </c>
      <c r="L53" s="77">
        <v>12.51</v>
      </c>
      <c r="M53" s="77">
        <v>1</v>
      </c>
      <c r="N53" s="77">
        <v>1101</v>
      </c>
    </row>
    <row r="54" spans="2:33">
      <c r="B54" s="77">
        <v>69.099999999999994</v>
      </c>
      <c r="C54" s="77">
        <v>0</v>
      </c>
      <c r="D54" s="77">
        <v>1110</v>
      </c>
      <c r="K54" s="77">
        <v>12.87</v>
      </c>
      <c r="L54" s="77">
        <v>12.88</v>
      </c>
      <c r="M54" s="77">
        <v>1</v>
      </c>
      <c r="N54" s="77">
        <v>1110</v>
      </c>
    </row>
    <row r="55" spans="2:33">
      <c r="B55" s="77">
        <v>69.75</v>
      </c>
      <c r="C55" s="77">
        <v>0</v>
      </c>
      <c r="D55" s="77">
        <v>1111</v>
      </c>
      <c r="K55" s="77">
        <v>13.25</v>
      </c>
      <c r="L55" s="77">
        <v>13.26</v>
      </c>
      <c r="M55" s="77">
        <v>1</v>
      </c>
      <c r="N55" s="77">
        <v>1111</v>
      </c>
    </row>
    <row r="56" spans="2:33">
      <c r="B56" s="77">
        <v>70.400000000000006</v>
      </c>
      <c r="C56" s="77">
        <v>0</v>
      </c>
      <c r="D56" s="77">
        <v>10000</v>
      </c>
      <c r="K56" s="77">
        <v>13.55</v>
      </c>
      <c r="L56" s="77">
        <v>13.55</v>
      </c>
      <c r="M56" s="77">
        <v>1</v>
      </c>
      <c r="N56" s="77">
        <v>10000</v>
      </c>
    </row>
    <row r="57" spans="2:33">
      <c r="B57" s="77">
        <v>71.05</v>
      </c>
      <c r="C57" s="77">
        <v>0</v>
      </c>
      <c r="D57" s="77">
        <v>10001</v>
      </c>
      <c r="K57" s="77">
        <v>13.92</v>
      </c>
      <c r="L57" s="77">
        <v>13.93</v>
      </c>
      <c r="M57" s="77">
        <v>1</v>
      </c>
      <c r="N57" s="77">
        <v>10001</v>
      </c>
    </row>
    <row r="58" spans="2:33">
      <c r="B58" s="77">
        <v>71.7</v>
      </c>
      <c r="C58" s="77">
        <v>0</v>
      </c>
      <c r="D58" s="77">
        <v>10010</v>
      </c>
      <c r="K58" s="77">
        <v>14.29</v>
      </c>
      <c r="L58" s="77">
        <v>14.29</v>
      </c>
      <c r="M58" s="77">
        <v>1</v>
      </c>
      <c r="N58" s="77">
        <v>10010</v>
      </c>
    </row>
    <row r="59" spans="2:33">
      <c r="B59" s="77">
        <v>72.349999999999994</v>
      </c>
      <c r="C59" s="77">
        <v>0</v>
      </c>
      <c r="D59" s="77">
        <v>10011</v>
      </c>
      <c r="K59" s="77">
        <v>14.67</v>
      </c>
      <c r="L59" s="77">
        <v>14.67</v>
      </c>
      <c r="M59" s="77">
        <v>1</v>
      </c>
      <c r="N59" s="77">
        <v>10011</v>
      </c>
    </row>
    <row r="60" spans="2:33">
      <c r="B60" s="77">
        <v>73</v>
      </c>
      <c r="C60" s="77">
        <v>0</v>
      </c>
      <c r="D60" s="77">
        <v>10100</v>
      </c>
      <c r="K60" s="77">
        <v>15.03</v>
      </c>
      <c r="L60" s="77">
        <v>15.03</v>
      </c>
      <c r="M60" s="77">
        <v>1</v>
      </c>
      <c r="N60" s="77">
        <v>10100</v>
      </c>
    </row>
    <row r="61" spans="2:33">
      <c r="B61" s="77">
        <v>73.650000000000006</v>
      </c>
      <c r="C61" s="77">
        <v>0</v>
      </c>
      <c r="D61" s="77">
        <v>10101</v>
      </c>
      <c r="K61" s="77">
        <v>15.4</v>
      </c>
      <c r="L61" s="77">
        <v>15.41</v>
      </c>
      <c r="M61" s="77">
        <v>1</v>
      </c>
      <c r="N61" s="77">
        <v>10101</v>
      </c>
    </row>
    <row r="62" spans="2:33">
      <c r="B62" s="77">
        <v>74.3</v>
      </c>
      <c r="C62" s="77">
        <v>0</v>
      </c>
      <c r="D62" s="77">
        <v>10110</v>
      </c>
      <c r="K62" s="77">
        <v>15.77</v>
      </c>
      <c r="L62" s="77">
        <v>15.78</v>
      </c>
      <c r="M62" s="77">
        <v>1</v>
      </c>
      <c r="N62" s="77">
        <v>10110</v>
      </c>
    </row>
    <row r="63" spans="2:33">
      <c r="B63" s="77">
        <v>74.95</v>
      </c>
      <c r="C63" s="77">
        <v>0</v>
      </c>
      <c r="D63" s="77">
        <v>10111</v>
      </c>
      <c r="K63" s="77">
        <v>16.149999999999999</v>
      </c>
      <c r="L63" s="77">
        <v>16.149999999999999</v>
      </c>
      <c r="M63" s="77">
        <v>1</v>
      </c>
      <c r="N63" s="77">
        <v>10111</v>
      </c>
    </row>
    <row r="64" spans="2:33">
      <c r="B64" s="77">
        <v>75.599999999999994</v>
      </c>
      <c r="C64" s="77">
        <v>0</v>
      </c>
      <c r="D64" s="77">
        <v>11000</v>
      </c>
      <c r="K64" s="77">
        <v>16.47</v>
      </c>
      <c r="L64" s="77">
        <v>16.47</v>
      </c>
      <c r="M64" s="77">
        <v>1</v>
      </c>
      <c r="N64" s="77">
        <v>11000</v>
      </c>
    </row>
    <row r="65" spans="2:14">
      <c r="B65" s="77">
        <v>76.25</v>
      </c>
      <c r="C65" s="77">
        <v>0</v>
      </c>
      <c r="D65" s="77">
        <v>11001</v>
      </c>
      <c r="K65" s="77">
        <v>16.850000000000001</v>
      </c>
      <c r="L65" s="77">
        <v>16.850000000000001</v>
      </c>
      <c r="M65" s="77">
        <v>1</v>
      </c>
      <c r="N65" s="77">
        <v>11001</v>
      </c>
    </row>
    <row r="66" spans="2:14">
      <c r="B66" s="77">
        <v>76.900000000000006</v>
      </c>
      <c r="C66" s="77">
        <v>0</v>
      </c>
      <c r="D66" s="77">
        <v>11010</v>
      </c>
      <c r="K66" s="77">
        <v>17.21</v>
      </c>
      <c r="L66" s="77">
        <v>17.22</v>
      </c>
      <c r="M66" s="77">
        <v>1</v>
      </c>
      <c r="N66" s="77">
        <v>11010</v>
      </c>
    </row>
    <row r="67" spans="2:14">
      <c r="B67" s="77">
        <v>77.55</v>
      </c>
      <c r="C67" s="77">
        <v>0</v>
      </c>
      <c r="D67" s="77">
        <v>11011</v>
      </c>
      <c r="K67" s="77">
        <v>17.59</v>
      </c>
      <c r="L67" s="77">
        <v>17.600000000000001</v>
      </c>
      <c r="M67" s="77">
        <v>1</v>
      </c>
      <c r="N67" s="77">
        <v>11011</v>
      </c>
    </row>
    <row r="68" spans="2:14">
      <c r="B68" s="77">
        <v>78.2</v>
      </c>
      <c r="C68" s="77">
        <v>0</v>
      </c>
      <c r="D68" s="77">
        <v>11100</v>
      </c>
      <c r="K68" s="77">
        <v>17.95</v>
      </c>
      <c r="L68" s="77">
        <v>17.96</v>
      </c>
      <c r="M68" s="77">
        <v>1</v>
      </c>
      <c r="N68" s="77">
        <v>11100</v>
      </c>
    </row>
    <row r="69" spans="2:14">
      <c r="B69" s="77">
        <v>78.849999999999994</v>
      </c>
      <c r="C69" s="77">
        <v>0</v>
      </c>
      <c r="D69" s="77">
        <v>11101</v>
      </c>
      <c r="K69" s="77">
        <v>18.329999999999998</v>
      </c>
      <c r="L69" s="77">
        <v>18.329999999999998</v>
      </c>
      <c r="M69" s="77">
        <v>1</v>
      </c>
      <c r="N69" s="77">
        <v>11101</v>
      </c>
    </row>
    <row r="70" spans="2:14">
      <c r="B70" s="77">
        <v>79.5</v>
      </c>
      <c r="C70" s="77">
        <v>0</v>
      </c>
      <c r="D70" s="77">
        <v>11110</v>
      </c>
      <c r="K70" s="77">
        <v>18.690000000000001</v>
      </c>
      <c r="L70" s="77">
        <v>18.7</v>
      </c>
      <c r="M70" s="77">
        <v>1</v>
      </c>
      <c r="N70" s="77">
        <v>11110</v>
      </c>
    </row>
    <row r="71" spans="2:14">
      <c r="B71" s="77">
        <v>80.150000000000006</v>
      </c>
      <c r="C71" s="77">
        <v>0</v>
      </c>
      <c r="D71" s="77">
        <v>11111</v>
      </c>
      <c r="K71" s="77">
        <v>19.07</v>
      </c>
      <c r="L71" s="77">
        <v>19.079999999999998</v>
      </c>
      <c r="M71" s="77">
        <v>1</v>
      </c>
      <c r="N71" s="77">
        <v>11111</v>
      </c>
    </row>
    <row r="72" spans="2:14">
      <c r="B72" s="77">
        <v>80.8</v>
      </c>
      <c r="C72" s="77">
        <v>0</v>
      </c>
      <c r="D72" s="77">
        <v>100000</v>
      </c>
      <c r="K72" s="77">
        <v>19.3</v>
      </c>
      <c r="L72" s="77">
        <v>19.3</v>
      </c>
      <c r="M72" s="77">
        <v>1</v>
      </c>
      <c r="N72" s="77">
        <v>100000</v>
      </c>
    </row>
    <row r="73" spans="2:14">
      <c r="B73" s="77">
        <v>81.45</v>
      </c>
      <c r="C73" s="77">
        <v>0</v>
      </c>
      <c r="D73" s="77">
        <v>100001</v>
      </c>
      <c r="K73" s="77">
        <v>19.670000000000002</v>
      </c>
      <c r="L73" s="77">
        <v>19.68</v>
      </c>
      <c r="M73" s="77">
        <v>1</v>
      </c>
      <c r="N73" s="77">
        <v>100001</v>
      </c>
    </row>
    <row r="74" spans="2:14">
      <c r="B74" s="77">
        <v>82.1</v>
      </c>
      <c r="C74" s="77">
        <v>0</v>
      </c>
      <c r="D74" s="77">
        <v>100010</v>
      </c>
      <c r="K74" s="77">
        <v>20.04</v>
      </c>
      <c r="L74" s="77">
        <v>20.04</v>
      </c>
      <c r="M74" s="77">
        <v>1</v>
      </c>
      <c r="N74" s="77">
        <v>100010</v>
      </c>
    </row>
    <row r="75" spans="2:14">
      <c r="B75" s="77">
        <v>82.75</v>
      </c>
      <c r="C75" s="77">
        <v>0</v>
      </c>
      <c r="D75" s="77">
        <v>100011</v>
      </c>
      <c r="K75" s="77">
        <v>20.420000000000002</v>
      </c>
      <c r="L75" s="77">
        <v>20.420000000000002</v>
      </c>
      <c r="M75" s="77">
        <v>1</v>
      </c>
      <c r="N75" s="77">
        <v>100011</v>
      </c>
    </row>
    <row r="76" spans="2:14">
      <c r="B76" s="77">
        <v>83.4</v>
      </c>
      <c r="C76" s="77">
        <v>0</v>
      </c>
      <c r="D76" s="77">
        <v>100100</v>
      </c>
      <c r="K76" s="77">
        <v>20.78</v>
      </c>
      <c r="L76" s="77">
        <v>20.78</v>
      </c>
      <c r="M76" s="77">
        <v>1</v>
      </c>
      <c r="N76" s="77">
        <v>100100</v>
      </c>
    </row>
    <row r="77" spans="2:14">
      <c r="B77" s="77">
        <v>84.05</v>
      </c>
      <c r="C77" s="77">
        <v>0</v>
      </c>
      <c r="D77" s="77">
        <v>100101</v>
      </c>
      <c r="K77" s="77">
        <v>21.15</v>
      </c>
      <c r="L77" s="77">
        <v>21.16</v>
      </c>
      <c r="M77" s="77">
        <v>1</v>
      </c>
      <c r="N77" s="77">
        <v>100101</v>
      </c>
    </row>
    <row r="78" spans="2:14">
      <c r="B78" s="77">
        <v>84.7</v>
      </c>
      <c r="C78" s="77">
        <v>0</v>
      </c>
      <c r="D78" s="77">
        <v>100110</v>
      </c>
      <c r="K78" s="77">
        <v>21.52</v>
      </c>
      <c r="L78" s="77">
        <v>21.53</v>
      </c>
      <c r="M78" s="77">
        <v>1</v>
      </c>
      <c r="N78" s="77">
        <v>100110</v>
      </c>
    </row>
    <row r="79" spans="2:14">
      <c r="B79" s="77">
        <v>85.35</v>
      </c>
      <c r="C79" s="77">
        <v>0</v>
      </c>
      <c r="D79" s="77">
        <v>100111</v>
      </c>
      <c r="K79" s="77">
        <v>21.9</v>
      </c>
      <c r="L79" s="77">
        <v>21.9</v>
      </c>
      <c r="M79" s="77">
        <v>1</v>
      </c>
      <c r="N79" s="77">
        <v>100111</v>
      </c>
    </row>
    <row r="80" spans="2:14">
      <c r="B80" s="77">
        <v>86</v>
      </c>
      <c r="C80" s="77">
        <v>0</v>
      </c>
      <c r="D80" s="77">
        <v>101000</v>
      </c>
      <c r="K80" s="77">
        <v>22.22</v>
      </c>
      <c r="L80" s="77">
        <v>22.22</v>
      </c>
      <c r="M80" s="77">
        <v>1</v>
      </c>
      <c r="N80" s="77">
        <v>101000</v>
      </c>
    </row>
    <row r="81" spans="2:14">
      <c r="B81" s="77">
        <v>86.65</v>
      </c>
      <c r="C81" s="77">
        <v>0</v>
      </c>
      <c r="D81" s="77">
        <v>101001</v>
      </c>
      <c r="K81" s="77">
        <v>22.6</v>
      </c>
      <c r="L81" s="77">
        <v>22.6</v>
      </c>
      <c r="M81" s="77">
        <v>1</v>
      </c>
      <c r="N81" s="77">
        <v>101001</v>
      </c>
    </row>
    <row r="82" spans="2:14">
      <c r="B82" s="77">
        <v>87.3</v>
      </c>
      <c r="C82" s="77">
        <v>0</v>
      </c>
      <c r="D82" s="77">
        <v>101010</v>
      </c>
      <c r="K82" s="77">
        <v>22.96</v>
      </c>
      <c r="L82" s="77">
        <v>22.97</v>
      </c>
      <c r="M82" s="77">
        <v>1</v>
      </c>
      <c r="N82" s="77">
        <v>101010</v>
      </c>
    </row>
    <row r="83" spans="2:14">
      <c r="B83" s="77">
        <v>87.95</v>
      </c>
      <c r="C83" s="77">
        <v>0</v>
      </c>
      <c r="D83" s="77">
        <v>101011</v>
      </c>
      <c r="K83" s="77">
        <v>23.34</v>
      </c>
      <c r="L83" s="77">
        <v>23.35</v>
      </c>
      <c r="M83" s="77">
        <v>1</v>
      </c>
      <c r="N83" s="77">
        <v>101011</v>
      </c>
    </row>
    <row r="84" spans="2:14">
      <c r="B84" s="77">
        <v>88.6</v>
      </c>
      <c r="C84" s="77">
        <v>0</v>
      </c>
      <c r="D84" s="77">
        <v>101100</v>
      </c>
      <c r="K84" s="77">
        <v>23.7</v>
      </c>
      <c r="L84" s="77">
        <v>23.71</v>
      </c>
      <c r="M84" s="77">
        <v>1</v>
      </c>
      <c r="N84" s="77">
        <v>101100</v>
      </c>
    </row>
    <row r="85" spans="2:14">
      <c r="B85" s="77">
        <v>89.25</v>
      </c>
      <c r="C85" s="77">
        <v>0</v>
      </c>
      <c r="D85" s="77">
        <v>101101</v>
      </c>
      <c r="K85" s="77">
        <v>24.08</v>
      </c>
      <c r="L85" s="77">
        <v>24.08</v>
      </c>
      <c r="M85" s="77">
        <v>1</v>
      </c>
      <c r="N85" s="77">
        <v>101101</v>
      </c>
    </row>
    <row r="86" spans="2:14">
      <c r="B86" s="77">
        <v>89.9</v>
      </c>
      <c r="C86" s="77">
        <v>0</v>
      </c>
      <c r="D86" s="77">
        <v>101110</v>
      </c>
      <c r="K86" s="77">
        <v>24.44</v>
      </c>
      <c r="L86" s="77">
        <v>24.45</v>
      </c>
      <c r="M86" s="77">
        <v>1</v>
      </c>
      <c r="N86" s="77">
        <v>101110</v>
      </c>
    </row>
    <row r="87" spans="2:14">
      <c r="B87" s="77">
        <v>90.55</v>
      </c>
      <c r="C87" s="77">
        <v>0</v>
      </c>
      <c r="D87" s="77">
        <v>101111</v>
      </c>
      <c r="K87" s="77">
        <v>24.82</v>
      </c>
      <c r="L87" s="77">
        <v>24.83</v>
      </c>
      <c r="M87" s="77">
        <v>1</v>
      </c>
      <c r="N87" s="77">
        <v>101111</v>
      </c>
    </row>
    <row r="88" spans="2:14">
      <c r="B88" s="77">
        <v>91.2</v>
      </c>
      <c r="C88" s="77">
        <v>0</v>
      </c>
      <c r="D88" s="77">
        <v>110000</v>
      </c>
      <c r="K88" s="77">
        <v>25.12</v>
      </c>
      <c r="L88" s="77">
        <v>25.12</v>
      </c>
      <c r="M88" s="77">
        <v>1</v>
      </c>
      <c r="N88" s="77">
        <v>110000</v>
      </c>
    </row>
    <row r="89" spans="2:14">
      <c r="B89" s="77">
        <v>91.85</v>
      </c>
      <c r="C89" s="77">
        <v>0</v>
      </c>
      <c r="D89" s="77">
        <v>110001</v>
      </c>
      <c r="K89" s="77">
        <v>25.49</v>
      </c>
      <c r="L89" s="77">
        <v>25.5</v>
      </c>
      <c r="M89" s="77">
        <v>1</v>
      </c>
      <c r="N89" s="77">
        <v>110001</v>
      </c>
    </row>
    <row r="90" spans="2:14">
      <c r="B90" s="77">
        <v>92.5</v>
      </c>
      <c r="C90" s="77">
        <v>0</v>
      </c>
      <c r="D90" s="77">
        <v>110010</v>
      </c>
      <c r="K90" s="77">
        <v>25.86</v>
      </c>
      <c r="L90" s="77">
        <v>25.87</v>
      </c>
      <c r="M90" s="77">
        <v>1</v>
      </c>
      <c r="N90" s="77">
        <v>110010</v>
      </c>
    </row>
    <row r="91" spans="2:14">
      <c r="B91" s="77">
        <v>45</v>
      </c>
      <c r="C91" s="77">
        <v>1</v>
      </c>
      <c r="D91" s="77">
        <v>0</v>
      </c>
      <c r="K91" s="77">
        <v>26.24</v>
      </c>
      <c r="L91" s="77">
        <v>26.24</v>
      </c>
      <c r="M91" s="77">
        <v>1</v>
      </c>
      <c r="N91" s="77">
        <v>110011</v>
      </c>
    </row>
    <row r="92" spans="2:14">
      <c r="B92" s="77">
        <v>45.65</v>
      </c>
      <c r="C92" s="77">
        <v>1</v>
      </c>
      <c r="D92" s="77">
        <v>1</v>
      </c>
      <c r="K92" s="77">
        <v>26.6</v>
      </c>
      <c r="L92" s="77">
        <v>26.6</v>
      </c>
      <c r="M92" s="77">
        <v>1</v>
      </c>
      <c r="N92" s="77">
        <v>110100</v>
      </c>
    </row>
    <row r="93" spans="2:14">
      <c r="B93" s="77">
        <v>46.3</v>
      </c>
      <c r="C93" s="77">
        <v>1</v>
      </c>
      <c r="D93" s="77">
        <v>10</v>
      </c>
      <c r="K93" s="77">
        <v>26.97</v>
      </c>
      <c r="L93" s="77">
        <v>26.98</v>
      </c>
      <c r="M93" s="77">
        <v>1</v>
      </c>
      <c r="N93" s="77">
        <v>110101</v>
      </c>
    </row>
    <row r="94" spans="2:14">
      <c r="B94" s="77">
        <v>46.95</v>
      </c>
      <c r="C94" s="77">
        <v>1</v>
      </c>
      <c r="D94" s="77">
        <v>11</v>
      </c>
      <c r="K94" s="77">
        <v>27.34</v>
      </c>
      <c r="L94" s="77">
        <v>27.35</v>
      </c>
      <c r="M94" s="77">
        <v>1</v>
      </c>
      <c r="N94" s="77">
        <v>110110</v>
      </c>
    </row>
    <row r="95" spans="2:14">
      <c r="B95" s="77">
        <v>47.6</v>
      </c>
      <c r="C95" s="77">
        <v>1</v>
      </c>
      <c r="D95" s="77">
        <v>100</v>
      </c>
      <c r="K95" s="77">
        <v>27.72</v>
      </c>
      <c r="L95" s="77">
        <v>27.73</v>
      </c>
      <c r="M95" s="77">
        <v>1</v>
      </c>
      <c r="N95" s="77">
        <v>110111</v>
      </c>
    </row>
    <row r="96" spans="2:14">
      <c r="B96" s="77">
        <v>48.25</v>
      </c>
      <c r="C96" s="77">
        <v>1</v>
      </c>
      <c r="D96" s="77">
        <v>101</v>
      </c>
      <c r="K96" s="77">
        <v>28.04</v>
      </c>
      <c r="L96" s="77">
        <v>28.05</v>
      </c>
      <c r="M96" s="77">
        <v>1</v>
      </c>
      <c r="N96" s="77">
        <v>111000</v>
      </c>
    </row>
    <row r="97" spans="2:14">
      <c r="B97" s="77">
        <v>48.9</v>
      </c>
      <c r="C97" s="77">
        <v>1</v>
      </c>
      <c r="D97" s="77">
        <v>110</v>
      </c>
      <c r="K97" s="77">
        <v>28.42</v>
      </c>
      <c r="L97" s="77">
        <v>28.42</v>
      </c>
      <c r="M97" s="77">
        <v>1</v>
      </c>
      <c r="N97" s="77">
        <v>111001</v>
      </c>
    </row>
    <row r="98" spans="2:14">
      <c r="B98" s="77">
        <v>49.55</v>
      </c>
      <c r="C98" s="77">
        <v>1</v>
      </c>
      <c r="D98" s="77">
        <v>111</v>
      </c>
      <c r="K98" s="77">
        <v>28.78</v>
      </c>
      <c r="L98" s="77">
        <v>28.79</v>
      </c>
      <c r="M98" s="77">
        <v>1</v>
      </c>
      <c r="N98" s="77">
        <v>111010</v>
      </c>
    </row>
    <row r="99" spans="2:14">
      <c r="B99" s="77">
        <v>50.2</v>
      </c>
      <c r="C99" s="77">
        <v>1</v>
      </c>
      <c r="D99" s="77">
        <v>1000</v>
      </c>
      <c r="K99" s="77">
        <v>29.16</v>
      </c>
      <c r="L99" s="77">
        <v>29.17</v>
      </c>
      <c r="M99" s="77">
        <v>1</v>
      </c>
      <c r="N99" s="77">
        <v>111011</v>
      </c>
    </row>
    <row r="100" spans="2:14">
      <c r="B100" s="77">
        <v>50.85</v>
      </c>
      <c r="C100" s="77">
        <v>1</v>
      </c>
      <c r="D100" s="77">
        <v>1001</v>
      </c>
      <c r="K100" s="77">
        <v>29.52</v>
      </c>
      <c r="L100" s="77">
        <v>29.53</v>
      </c>
      <c r="M100" s="77">
        <v>1</v>
      </c>
      <c r="N100" s="77">
        <v>111100</v>
      </c>
    </row>
    <row r="101" spans="2:14">
      <c r="B101" s="77">
        <v>51.5</v>
      </c>
      <c r="C101" s="77">
        <v>1</v>
      </c>
      <c r="D101" s="77">
        <v>1010</v>
      </c>
      <c r="K101" s="77">
        <v>29.9</v>
      </c>
      <c r="L101" s="77">
        <v>29.91</v>
      </c>
      <c r="M101" s="77">
        <v>1</v>
      </c>
      <c r="N101" s="77">
        <v>111101</v>
      </c>
    </row>
    <row r="102" spans="2:14">
      <c r="B102" s="77">
        <v>52.15</v>
      </c>
      <c r="C102" s="77">
        <v>1</v>
      </c>
      <c r="D102" s="77">
        <v>1011</v>
      </c>
      <c r="K102" s="77">
        <v>30.27</v>
      </c>
      <c r="L102" s="77">
        <v>30.27</v>
      </c>
      <c r="M102" s="77">
        <v>1</v>
      </c>
      <c r="N102" s="77">
        <v>111110</v>
      </c>
    </row>
    <row r="103" spans="2:14">
      <c r="B103" s="77">
        <v>52.8</v>
      </c>
      <c r="C103" s="77">
        <v>1</v>
      </c>
      <c r="D103" s="77">
        <v>1100</v>
      </c>
      <c r="K103" s="77">
        <v>30.64</v>
      </c>
      <c r="L103" s="77">
        <v>30.65</v>
      </c>
      <c r="M103" s="77">
        <v>1</v>
      </c>
      <c r="N103" s="77">
        <v>111111</v>
      </c>
    </row>
    <row r="104" spans="2:14">
      <c r="B104" s="77">
        <v>53.45</v>
      </c>
      <c r="C104" s="77">
        <v>1</v>
      </c>
      <c r="D104" s="77">
        <v>1101</v>
      </c>
      <c r="K104" s="77">
        <v>30.89</v>
      </c>
      <c r="L104" s="77">
        <v>30.89</v>
      </c>
      <c r="M104" s="77">
        <v>1</v>
      </c>
      <c r="N104" s="77">
        <v>1000000</v>
      </c>
    </row>
    <row r="105" spans="2:14">
      <c r="B105" s="77">
        <v>54.1</v>
      </c>
      <c r="C105" s="77">
        <v>1</v>
      </c>
      <c r="D105" s="77">
        <v>1110</v>
      </c>
      <c r="K105" s="77">
        <v>31.26</v>
      </c>
      <c r="L105" s="77">
        <v>31.27</v>
      </c>
      <c r="M105" s="77">
        <v>1</v>
      </c>
      <c r="N105" s="77">
        <v>1000001</v>
      </c>
    </row>
    <row r="106" spans="2:14">
      <c r="B106" s="77">
        <v>54.75</v>
      </c>
      <c r="C106" s="77">
        <v>1</v>
      </c>
      <c r="D106" s="77">
        <v>1111</v>
      </c>
      <c r="K106" s="77">
        <v>31.63</v>
      </c>
      <c r="L106" s="77">
        <v>31.63</v>
      </c>
      <c r="M106" s="77">
        <v>1</v>
      </c>
      <c r="N106" s="77">
        <v>1000010</v>
      </c>
    </row>
    <row r="107" spans="2:14">
      <c r="B107" s="77">
        <v>55.4</v>
      </c>
      <c r="C107" s="77">
        <v>1</v>
      </c>
      <c r="D107" s="77">
        <v>10000</v>
      </c>
      <c r="K107" s="77">
        <v>32.01</v>
      </c>
      <c r="L107" s="77">
        <v>32.01</v>
      </c>
      <c r="M107" s="77">
        <v>1</v>
      </c>
      <c r="N107" s="77">
        <v>1000011</v>
      </c>
    </row>
    <row r="108" spans="2:14">
      <c r="B108" s="77">
        <v>56.05</v>
      </c>
      <c r="C108" s="77">
        <v>1</v>
      </c>
      <c r="D108" s="77">
        <v>10001</v>
      </c>
      <c r="K108" s="77">
        <v>32.369999999999997</v>
      </c>
      <c r="L108" s="77">
        <v>32.369999999999997</v>
      </c>
      <c r="M108" s="77">
        <v>1</v>
      </c>
      <c r="N108" s="77">
        <v>1000100</v>
      </c>
    </row>
    <row r="109" spans="2:14">
      <c r="B109" s="77">
        <v>56.7</v>
      </c>
      <c r="C109" s="77">
        <v>1</v>
      </c>
      <c r="D109" s="77">
        <v>10010</v>
      </c>
      <c r="K109" s="77">
        <v>32.74</v>
      </c>
      <c r="L109" s="77">
        <v>32.75</v>
      </c>
      <c r="M109" s="77">
        <v>1</v>
      </c>
      <c r="N109" s="77">
        <v>1000101</v>
      </c>
    </row>
    <row r="110" spans="2:14">
      <c r="B110" s="77">
        <v>57.35</v>
      </c>
      <c r="C110" s="77">
        <v>1</v>
      </c>
      <c r="D110" s="77">
        <v>10011</v>
      </c>
      <c r="K110" s="77">
        <v>33.11</v>
      </c>
      <c r="L110" s="77">
        <v>33.119999999999997</v>
      </c>
      <c r="M110" s="77">
        <v>1</v>
      </c>
      <c r="N110" s="77">
        <v>1000110</v>
      </c>
    </row>
    <row r="111" spans="2:14">
      <c r="B111" s="77">
        <v>58</v>
      </c>
      <c r="C111" s="77">
        <v>1</v>
      </c>
      <c r="D111" s="77">
        <v>10100</v>
      </c>
      <c r="K111" s="77">
        <v>33.49</v>
      </c>
      <c r="L111" s="77">
        <v>33.49</v>
      </c>
      <c r="M111" s="77">
        <v>1</v>
      </c>
      <c r="N111" s="77">
        <v>1000111</v>
      </c>
    </row>
    <row r="112" spans="2:14">
      <c r="B112" s="77">
        <v>58.65</v>
      </c>
      <c r="C112" s="77">
        <v>1</v>
      </c>
      <c r="D112" s="77">
        <v>10101</v>
      </c>
      <c r="K112" s="77">
        <v>33.81</v>
      </c>
      <c r="L112" s="77">
        <v>33.81</v>
      </c>
      <c r="M112" s="77">
        <v>1</v>
      </c>
      <c r="N112" s="77">
        <v>1001000</v>
      </c>
    </row>
    <row r="113" spans="2:14">
      <c r="B113" s="77">
        <v>59.3</v>
      </c>
      <c r="C113" s="77">
        <v>1</v>
      </c>
      <c r="D113" s="77">
        <v>10110</v>
      </c>
      <c r="K113" s="77">
        <v>34.19</v>
      </c>
      <c r="L113" s="77">
        <v>34.19</v>
      </c>
      <c r="M113" s="77">
        <v>1</v>
      </c>
      <c r="N113" s="77">
        <v>1001001</v>
      </c>
    </row>
    <row r="114" spans="2:14">
      <c r="B114" s="77">
        <v>59.95</v>
      </c>
      <c r="C114" s="77">
        <v>1</v>
      </c>
      <c r="D114" s="77">
        <v>10111</v>
      </c>
      <c r="K114" s="77">
        <v>34.549999999999997</v>
      </c>
      <c r="L114" s="77">
        <v>34.56</v>
      </c>
      <c r="M114" s="77">
        <v>1</v>
      </c>
      <c r="N114" s="77">
        <v>1001010</v>
      </c>
    </row>
    <row r="115" spans="2:14">
      <c r="B115" s="77">
        <v>60.6</v>
      </c>
      <c r="C115" s="77">
        <v>1</v>
      </c>
      <c r="D115" s="77">
        <v>11000</v>
      </c>
      <c r="K115" s="77">
        <v>34.93</v>
      </c>
      <c r="L115" s="77">
        <v>34.94</v>
      </c>
      <c r="M115" s="77">
        <v>1</v>
      </c>
      <c r="N115" s="77">
        <v>1001011</v>
      </c>
    </row>
    <row r="116" spans="2:14">
      <c r="B116" s="77">
        <v>61.25</v>
      </c>
      <c r="C116" s="77">
        <v>1</v>
      </c>
      <c r="D116" s="77">
        <v>11001</v>
      </c>
      <c r="K116" s="77">
        <v>35.29</v>
      </c>
      <c r="L116" s="77">
        <v>35.299999999999997</v>
      </c>
      <c r="M116" s="77">
        <v>1</v>
      </c>
      <c r="N116" s="77">
        <v>1001100</v>
      </c>
    </row>
    <row r="117" spans="2:14">
      <c r="B117" s="77">
        <v>61.9</v>
      </c>
      <c r="C117" s="77">
        <v>1</v>
      </c>
      <c r="D117" s="77">
        <v>11010</v>
      </c>
      <c r="K117" s="77">
        <v>35.67</v>
      </c>
      <c r="L117" s="77">
        <v>35.67</v>
      </c>
      <c r="M117" s="77">
        <v>1</v>
      </c>
      <c r="N117" s="77">
        <v>1001101</v>
      </c>
    </row>
    <row r="118" spans="2:14">
      <c r="B118" s="77">
        <v>62.55</v>
      </c>
      <c r="C118" s="77">
        <v>1</v>
      </c>
      <c r="D118" s="77">
        <v>11011</v>
      </c>
      <c r="K118" s="77">
        <v>36.03</v>
      </c>
      <c r="L118" s="77">
        <v>36.04</v>
      </c>
      <c r="M118" s="77">
        <v>1</v>
      </c>
      <c r="N118" s="77">
        <v>1001110</v>
      </c>
    </row>
    <row r="119" spans="2:14">
      <c r="B119" s="77">
        <v>63.2</v>
      </c>
      <c r="C119" s="77">
        <v>1</v>
      </c>
      <c r="D119" s="77">
        <v>11100</v>
      </c>
      <c r="K119" s="77">
        <v>36.409999999999997</v>
      </c>
      <c r="L119" s="77">
        <v>36.42</v>
      </c>
      <c r="M119" s="77">
        <v>1</v>
      </c>
      <c r="N119" s="77">
        <v>1001111</v>
      </c>
    </row>
    <row r="120" spans="2:14">
      <c r="B120" s="77">
        <v>63.85</v>
      </c>
      <c r="C120" s="77">
        <v>1</v>
      </c>
      <c r="D120" s="77">
        <v>11101</v>
      </c>
      <c r="K120" s="77">
        <v>36.71</v>
      </c>
      <c r="L120" s="77">
        <v>36.71</v>
      </c>
      <c r="M120" s="77">
        <v>1</v>
      </c>
      <c r="N120" s="77">
        <v>1010000</v>
      </c>
    </row>
    <row r="121" spans="2:14">
      <c r="B121" s="77">
        <v>64.5</v>
      </c>
      <c r="C121" s="77">
        <v>1</v>
      </c>
      <c r="D121" s="77">
        <v>11110</v>
      </c>
      <c r="K121" s="77">
        <v>37.08</v>
      </c>
      <c r="L121" s="77">
        <v>37.090000000000003</v>
      </c>
      <c r="M121" s="77">
        <v>1</v>
      </c>
      <c r="N121" s="77">
        <v>1010001</v>
      </c>
    </row>
    <row r="122" spans="2:14">
      <c r="B122" s="77">
        <v>65.150000000000006</v>
      </c>
      <c r="C122" s="77">
        <v>1</v>
      </c>
      <c r="D122" s="77">
        <v>11111</v>
      </c>
      <c r="K122" s="77">
        <v>37.450000000000003</v>
      </c>
      <c r="L122" s="77">
        <v>37.46</v>
      </c>
      <c r="M122" s="77">
        <v>1</v>
      </c>
      <c r="N122" s="77">
        <v>1010010</v>
      </c>
    </row>
    <row r="123" spans="2:14">
      <c r="B123" s="77">
        <v>65.8</v>
      </c>
      <c r="C123" s="77">
        <v>1</v>
      </c>
      <c r="D123" s="77">
        <v>100000</v>
      </c>
      <c r="K123" s="77">
        <v>37.83</v>
      </c>
      <c r="L123" s="77">
        <v>37.83</v>
      </c>
      <c r="M123" s="77">
        <v>1</v>
      </c>
      <c r="N123" s="77">
        <v>1010011</v>
      </c>
    </row>
    <row r="124" spans="2:14">
      <c r="B124" s="77">
        <v>66.45</v>
      </c>
      <c r="C124" s="77">
        <v>1</v>
      </c>
      <c r="D124" s="77">
        <v>100001</v>
      </c>
      <c r="K124" s="77">
        <v>38.19</v>
      </c>
      <c r="L124" s="77">
        <v>38.19</v>
      </c>
      <c r="M124" s="77">
        <v>1</v>
      </c>
      <c r="N124" s="77">
        <v>1010100</v>
      </c>
    </row>
    <row r="125" spans="2:14">
      <c r="B125" s="77">
        <v>67.099999999999994</v>
      </c>
      <c r="C125" s="77">
        <v>1</v>
      </c>
      <c r="D125" s="77">
        <v>100010</v>
      </c>
      <c r="K125" s="77">
        <v>38.56</v>
      </c>
      <c r="L125" s="77">
        <v>38.57</v>
      </c>
      <c r="M125" s="77">
        <v>1</v>
      </c>
      <c r="N125" s="77">
        <v>1010101</v>
      </c>
    </row>
    <row r="126" spans="2:14">
      <c r="B126" s="77">
        <v>67.75</v>
      </c>
      <c r="C126" s="77">
        <v>1</v>
      </c>
      <c r="D126" s="77">
        <v>100011</v>
      </c>
      <c r="K126" s="77">
        <v>38.93</v>
      </c>
      <c r="L126" s="77">
        <v>38.94</v>
      </c>
      <c r="M126" s="77">
        <v>1</v>
      </c>
      <c r="N126" s="77">
        <v>1010110</v>
      </c>
    </row>
    <row r="127" spans="2:14">
      <c r="B127" s="77">
        <v>68.400000000000006</v>
      </c>
      <c r="C127" s="77">
        <v>1</v>
      </c>
      <c r="D127" s="77">
        <v>100100</v>
      </c>
      <c r="K127" s="77">
        <v>39.31</v>
      </c>
      <c r="L127" s="77">
        <v>39.32</v>
      </c>
      <c r="M127" s="77">
        <v>1</v>
      </c>
      <c r="N127" s="77">
        <v>1010111</v>
      </c>
    </row>
    <row r="128" spans="2:14">
      <c r="B128" s="77">
        <v>69.05</v>
      </c>
      <c r="C128" s="77">
        <v>1</v>
      </c>
      <c r="D128" s="77">
        <v>100101</v>
      </c>
      <c r="K128" s="77">
        <v>39.630000000000003</v>
      </c>
      <c r="L128" s="77">
        <v>39.64</v>
      </c>
      <c r="M128" s="77">
        <v>1</v>
      </c>
      <c r="N128" s="77">
        <v>1011000</v>
      </c>
    </row>
    <row r="129" spans="2:14">
      <c r="B129" s="77">
        <v>69.7</v>
      </c>
      <c r="C129" s="77">
        <v>1</v>
      </c>
      <c r="D129" s="77">
        <v>100110</v>
      </c>
      <c r="K129" s="77">
        <v>40.01</v>
      </c>
      <c r="L129" s="77">
        <v>40.01</v>
      </c>
      <c r="M129" s="77">
        <v>1</v>
      </c>
      <c r="N129" s="77">
        <v>1011001</v>
      </c>
    </row>
    <row r="130" spans="2:14">
      <c r="B130" s="77">
        <v>70.349999999999994</v>
      </c>
      <c r="C130" s="77">
        <v>1</v>
      </c>
      <c r="D130" s="77">
        <v>100111</v>
      </c>
      <c r="K130" s="77">
        <v>40.369999999999997</v>
      </c>
      <c r="L130" s="77">
        <v>40.380000000000003</v>
      </c>
      <c r="M130" s="77">
        <v>1</v>
      </c>
      <c r="N130" s="77">
        <v>1011010</v>
      </c>
    </row>
    <row r="131" spans="2:14">
      <c r="B131" s="77">
        <v>71</v>
      </c>
      <c r="C131" s="77">
        <v>1</v>
      </c>
      <c r="D131" s="77">
        <v>101000</v>
      </c>
      <c r="K131" s="77">
        <v>40.75</v>
      </c>
      <c r="L131" s="77">
        <v>40.76</v>
      </c>
      <c r="M131" s="77">
        <v>1</v>
      </c>
      <c r="N131" s="77">
        <v>1011011</v>
      </c>
    </row>
    <row r="132" spans="2:14">
      <c r="B132" s="77">
        <v>71.650000000000006</v>
      </c>
      <c r="C132" s="77">
        <v>1</v>
      </c>
      <c r="D132" s="77">
        <v>101001</v>
      </c>
      <c r="K132" s="77">
        <v>41.11</v>
      </c>
      <c r="L132" s="77">
        <v>41.12</v>
      </c>
      <c r="M132" s="77">
        <v>1</v>
      </c>
      <c r="N132" s="77">
        <v>1011100</v>
      </c>
    </row>
    <row r="133" spans="2:14">
      <c r="B133" s="77">
        <v>72.3</v>
      </c>
      <c r="C133" s="77">
        <v>1</v>
      </c>
      <c r="D133" s="77">
        <v>101010</v>
      </c>
      <c r="K133" s="77">
        <v>41.49</v>
      </c>
      <c r="L133" s="77">
        <v>41.5</v>
      </c>
      <c r="M133" s="77">
        <v>1</v>
      </c>
      <c r="N133" s="77">
        <v>1011101</v>
      </c>
    </row>
    <row r="134" spans="2:14">
      <c r="B134" s="77">
        <v>72.95</v>
      </c>
      <c r="C134" s="77">
        <v>1</v>
      </c>
      <c r="D134" s="77">
        <v>101011</v>
      </c>
      <c r="K134" s="77">
        <v>41.86</v>
      </c>
      <c r="L134" s="77">
        <v>41.86</v>
      </c>
      <c r="M134" s="77">
        <v>1</v>
      </c>
      <c r="N134" s="77">
        <v>1011110</v>
      </c>
    </row>
    <row r="135" spans="2:14">
      <c r="B135" s="77">
        <v>73.599999999999994</v>
      </c>
      <c r="C135" s="77">
        <v>1</v>
      </c>
      <c r="D135" s="77">
        <v>101100</v>
      </c>
      <c r="K135" s="77">
        <v>42.23</v>
      </c>
      <c r="L135" s="77">
        <v>42.24</v>
      </c>
      <c r="M135" s="77">
        <v>1</v>
      </c>
      <c r="N135" s="77">
        <v>1011111</v>
      </c>
    </row>
    <row r="136" spans="2:14">
      <c r="B136" s="77">
        <v>74.25</v>
      </c>
      <c r="C136" s="77">
        <v>1</v>
      </c>
      <c r="D136" s="77">
        <v>101101</v>
      </c>
      <c r="K136" s="77">
        <v>42.46</v>
      </c>
      <c r="L136" s="77">
        <v>42.46</v>
      </c>
      <c r="M136" s="77">
        <v>1</v>
      </c>
      <c r="N136" s="77">
        <v>1100000</v>
      </c>
    </row>
    <row r="137" spans="2:14">
      <c r="B137" s="77">
        <v>74.900000000000006</v>
      </c>
      <c r="C137" s="77">
        <v>1</v>
      </c>
      <c r="D137" s="77">
        <v>101110</v>
      </c>
      <c r="K137" s="77">
        <v>42.84</v>
      </c>
      <c r="L137" s="77">
        <v>42.84</v>
      </c>
      <c r="M137" s="77">
        <v>1</v>
      </c>
      <c r="N137" s="77">
        <v>1100001</v>
      </c>
    </row>
    <row r="138" spans="2:14">
      <c r="B138" s="77">
        <v>75.55</v>
      </c>
      <c r="C138" s="77">
        <v>1</v>
      </c>
      <c r="D138" s="77">
        <v>101111</v>
      </c>
      <c r="K138" s="77">
        <v>43.2</v>
      </c>
      <c r="L138" s="77">
        <v>43.21</v>
      </c>
      <c r="M138" s="77">
        <v>1</v>
      </c>
      <c r="N138" s="77">
        <v>1100010</v>
      </c>
    </row>
    <row r="139" spans="2:14">
      <c r="B139" s="77">
        <v>76.2</v>
      </c>
      <c r="C139" s="77">
        <v>1</v>
      </c>
      <c r="D139" s="77">
        <v>110000</v>
      </c>
      <c r="K139" s="77">
        <v>43.58</v>
      </c>
      <c r="L139" s="77">
        <v>43.59</v>
      </c>
      <c r="M139" s="77">
        <v>1</v>
      </c>
      <c r="N139" s="77">
        <v>1100011</v>
      </c>
    </row>
    <row r="140" spans="2:14">
      <c r="B140" s="77">
        <v>76.849999999999994</v>
      </c>
      <c r="C140" s="77">
        <v>1</v>
      </c>
      <c r="D140" s="77">
        <v>110001</v>
      </c>
      <c r="K140" s="77">
        <v>43.94</v>
      </c>
      <c r="L140" s="77">
        <v>43.95</v>
      </c>
      <c r="M140" s="77">
        <v>1</v>
      </c>
      <c r="N140" s="77">
        <v>1100100</v>
      </c>
    </row>
    <row r="141" spans="2:14">
      <c r="B141" s="77">
        <v>77.5</v>
      </c>
      <c r="C141" s="77">
        <v>1</v>
      </c>
      <c r="D141" s="77">
        <v>110010</v>
      </c>
      <c r="K141" s="77">
        <v>44.32</v>
      </c>
      <c r="L141" s="77">
        <v>44.32</v>
      </c>
      <c r="M141" s="77">
        <v>1</v>
      </c>
      <c r="N141" s="77">
        <v>1100101</v>
      </c>
    </row>
    <row r="142" spans="2:14">
      <c r="K142" s="77">
        <v>44.68</v>
      </c>
      <c r="L142" s="77">
        <v>44.69</v>
      </c>
      <c r="M142" s="77">
        <v>1</v>
      </c>
      <c r="N142" s="77">
        <v>1100110</v>
      </c>
    </row>
    <row r="143" spans="2:14">
      <c r="K143" s="77">
        <v>45.06</v>
      </c>
      <c r="L143" s="77">
        <v>45.07</v>
      </c>
      <c r="M143" s="77">
        <v>1</v>
      </c>
      <c r="N143" s="77">
        <v>1100111</v>
      </c>
    </row>
    <row r="144" spans="2:14">
      <c r="K144" s="77">
        <v>45.38</v>
      </c>
      <c r="L144" s="77">
        <v>45.39</v>
      </c>
      <c r="M144" s="77">
        <v>1</v>
      </c>
      <c r="N144" s="77">
        <v>1101000</v>
      </c>
    </row>
    <row r="145" spans="11:14">
      <c r="K145" s="77">
        <v>45.76</v>
      </c>
      <c r="L145" s="77">
        <v>45.77</v>
      </c>
      <c r="M145" s="77">
        <v>1</v>
      </c>
      <c r="N145" s="77">
        <v>1101001</v>
      </c>
    </row>
    <row r="146" spans="11:14">
      <c r="K146" s="77">
        <v>46.13</v>
      </c>
      <c r="L146" s="77">
        <v>46.14</v>
      </c>
      <c r="M146" s="77">
        <v>1</v>
      </c>
      <c r="N146" s="77">
        <v>1101010</v>
      </c>
    </row>
    <row r="147" spans="11:14">
      <c r="K147" s="77">
        <v>46.5</v>
      </c>
      <c r="L147" s="77">
        <v>46.51</v>
      </c>
      <c r="M147" s="77">
        <v>1</v>
      </c>
      <c r="N147" s="77">
        <v>1101011</v>
      </c>
    </row>
    <row r="148" spans="11:14">
      <c r="K148" s="77">
        <v>46.86</v>
      </c>
      <c r="L148" s="77">
        <v>46.87</v>
      </c>
      <c r="M148" s="77">
        <v>1</v>
      </c>
      <c r="N148" s="77">
        <v>1101100</v>
      </c>
    </row>
    <row r="149" spans="11:14">
      <c r="K149" s="77">
        <v>47.24</v>
      </c>
      <c r="L149" s="77">
        <v>47.25</v>
      </c>
      <c r="M149" s="77">
        <v>1</v>
      </c>
      <c r="N149" s="77">
        <v>1101101</v>
      </c>
    </row>
    <row r="150" spans="11:14">
      <c r="K150" s="77">
        <v>47.61</v>
      </c>
      <c r="L150" s="77">
        <v>47.62</v>
      </c>
      <c r="M150" s="77">
        <v>1</v>
      </c>
      <c r="N150" s="77">
        <v>1101110</v>
      </c>
    </row>
    <row r="151" spans="11:14">
      <c r="K151" s="77">
        <v>47.99</v>
      </c>
      <c r="L151" s="77">
        <v>48</v>
      </c>
      <c r="M151" s="77">
        <v>1</v>
      </c>
      <c r="N151" s="77">
        <v>1101111</v>
      </c>
    </row>
    <row r="152" spans="11:14">
      <c r="K152" s="77">
        <v>48.28</v>
      </c>
      <c r="L152" s="77">
        <v>48.29</v>
      </c>
      <c r="M152" s="77">
        <v>1</v>
      </c>
      <c r="N152" s="77">
        <v>1110000</v>
      </c>
    </row>
    <row r="153" spans="11:14">
      <c r="K153" s="77">
        <v>48.66</v>
      </c>
      <c r="L153" s="77">
        <v>48.67</v>
      </c>
      <c r="M153" s="77">
        <v>1</v>
      </c>
      <c r="N153" s="77">
        <v>1110001</v>
      </c>
    </row>
    <row r="154" spans="11:14">
      <c r="K154" s="77">
        <v>49.03</v>
      </c>
      <c r="L154" s="77">
        <v>49.03</v>
      </c>
      <c r="M154" s="77">
        <v>1</v>
      </c>
      <c r="N154" s="77">
        <v>1110010</v>
      </c>
    </row>
    <row r="155" spans="11:14">
      <c r="K155" s="77">
        <v>49.4</v>
      </c>
      <c r="L155" s="77">
        <v>49.41</v>
      </c>
      <c r="M155" s="77">
        <v>1</v>
      </c>
      <c r="N155" s="77">
        <v>1110011</v>
      </c>
    </row>
    <row r="156" spans="11:14">
      <c r="K156" s="77">
        <v>49.76</v>
      </c>
      <c r="L156" s="77">
        <v>49.77</v>
      </c>
      <c r="M156" s="77">
        <v>1</v>
      </c>
      <c r="N156" s="77">
        <v>1110100</v>
      </c>
    </row>
    <row r="157" spans="11:14">
      <c r="K157" s="77">
        <v>50.14</v>
      </c>
      <c r="L157" s="77">
        <v>50.15</v>
      </c>
      <c r="M157" s="77">
        <v>1</v>
      </c>
      <c r="N157" s="77">
        <v>1110101</v>
      </c>
    </row>
    <row r="158" spans="11:14">
      <c r="K158" s="77">
        <v>50.51</v>
      </c>
      <c r="L158" s="77">
        <v>50.52</v>
      </c>
      <c r="M158" s="77">
        <v>1</v>
      </c>
      <c r="N158" s="77">
        <v>1110110</v>
      </c>
    </row>
    <row r="159" spans="11:14">
      <c r="K159" s="77">
        <v>50.88</v>
      </c>
      <c r="L159" s="77">
        <v>50.89</v>
      </c>
      <c r="M159" s="77">
        <v>1</v>
      </c>
      <c r="N159" s="77">
        <v>1110111</v>
      </c>
    </row>
    <row r="160" spans="11:14">
      <c r="K160" s="77">
        <v>51.21</v>
      </c>
      <c r="L160" s="77">
        <v>51.22</v>
      </c>
      <c r="M160" s="77">
        <v>1</v>
      </c>
      <c r="N160" s="77">
        <v>1111000</v>
      </c>
    </row>
    <row r="161" spans="11:14">
      <c r="K161" s="77">
        <v>51.58</v>
      </c>
      <c r="L161" s="77">
        <v>51.59</v>
      </c>
      <c r="M161" s="77">
        <v>1</v>
      </c>
      <c r="N161" s="77">
        <v>1111001</v>
      </c>
    </row>
    <row r="162" spans="11:14">
      <c r="K162" s="77">
        <v>51.95</v>
      </c>
      <c r="L162" s="77">
        <v>51.96</v>
      </c>
      <c r="M162" s="77">
        <v>1</v>
      </c>
      <c r="N162" s="77">
        <v>1111010</v>
      </c>
    </row>
    <row r="163" spans="11:14">
      <c r="K163" s="77">
        <v>52.33</v>
      </c>
      <c r="L163" s="77">
        <v>52.34</v>
      </c>
      <c r="M163" s="77">
        <v>1</v>
      </c>
      <c r="N163" s="77">
        <v>1111011</v>
      </c>
    </row>
    <row r="164" spans="11:14">
      <c r="K164" s="77">
        <v>52.69</v>
      </c>
      <c r="L164" s="77">
        <v>52.7</v>
      </c>
      <c r="M164" s="77">
        <v>1</v>
      </c>
      <c r="N164" s="77">
        <v>1111100</v>
      </c>
    </row>
    <row r="165" spans="11:14">
      <c r="K165" s="77">
        <v>53.07</v>
      </c>
      <c r="L165" s="77">
        <v>53.08</v>
      </c>
      <c r="M165" s="77">
        <v>1</v>
      </c>
      <c r="N165" s="77">
        <v>1111101</v>
      </c>
    </row>
    <row r="166" spans="11:14">
      <c r="K166" s="77">
        <v>53.43</v>
      </c>
      <c r="L166" s="77">
        <v>53.44</v>
      </c>
      <c r="M166" s="77">
        <v>1</v>
      </c>
      <c r="N166" s="77">
        <v>1111110</v>
      </c>
    </row>
    <row r="167" spans="11:14">
      <c r="K167" s="77">
        <v>53.81</v>
      </c>
      <c r="L167" s="77">
        <v>53.82</v>
      </c>
      <c r="M167" s="77">
        <v>1</v>
      </c>
      <c r="N167" s="77">
        <v>1111111</v>
      </c>
    </row>
    <row r="168" spans="11:14">
      <c r="K168" s="77">
        <v>45.78</v>
      </c>
      <c r="L168" s="77">
        <v>45.77</v>
      </c>
      <c r="M168" s="77">
        <v>0</v>
      </c>
      <c r="N168" s="77">
        <v>0</v>
      </c>
    </row>
    <row r="169" spans="11:14">
      <c r="K169" s="77">
        <v>46.16</v>
      </c>
      <c r="L169" s="77">
        <v>46.15</v>
      </c>
      <c r="M169" s="77">
        <v>0</v>
      </c>
      <c r="N169" s="77">
        <v>1</v>
      </c>
    </row>
    <row r="170" spans="11:14">
      <c r="K170" s="77">
        <v>46.52</v>
      </c>
      <c r="L170" s="77">
        <v>46.51</v>
      </c>
      <c r="M170" s="77">
        <v>0</v>
      </c>
      <c r="N170" s="77">
        <v>10</v>
      </c>
    </row>
    <row r="171" spans="11:14">
      <c r="K171" s="77">
        <v>46.9</v>
      </c>
      <c r="L171" s="77">
        <v>46.89</v>
      </c>
      <c r="M171" s="77">
        <v>0</v>
      </c>
      <c r="N171" s="77">
        <v>11</v>
      </c>
    </row>
    <row r="172" spans="11:14">
      <c r="K172" s="77">
        <v>47.26</v>
      </c>
      <c r="L172" s="77">
        <v>47.25</v>
      </c>
      <c r="M172" s="77">
        <v>0</v>
      </c>
      <c r="N172" s="77">
        <v>100</v>
      </c>
    </row>
    <row r="173" spans="11:14">
      <c r="K173" s="77">
        <v>47.64</v>
      </c>
      <c r="L173" s="77">
        <v>47.63</v>
      </c>
      <c r="M173" s="77">
        <v>0</v>
      </c>
      <c r="N173" s="77">
        <v>101</v>
      </c>
    </row>
    <row r="174" spans="11:14">
      <c r="K174" s="77">
        <v>48.01</v>
      </c>
      <c r="L174" s="77">
        <v>47.99</v>
      </c>
      <c r="M174" s="77">
        <v>0</v>
      </c>
      <c r="N174" s="77">
        <v>110</v>
      </c>
    </row>
    <row r="175" spans="11:14">
      <c r="K175" s="77">
        <v>48.38</v>
      </c>
      <c r="L175" s="77">
        <v>48.37</v>
      </c>
      <c r="M175" s="77">
        <v>0</v>
      </c>
      <c r="N175" s="77">
        <v>111</v>
      </c>
    </row>
    <row r="176" spans="11:14">
      <c r="K176" s="77">
        <v>48.71</v>
      </c>
      <c r="L176" s="77">
        <v>48.69</v>
      </c>
      <c r="M176" s="77">
        <v>0</v>
      </c>
      <c r="N176" s="77">
        <v>1000</v>
      </c>
    </row>
    <row r="177" spans="11:14">
      <c r="K177" s="77">
        <v>49.08</v>
      </c>
      <c r="L177" s="77">
        <v>49.07</v>
      </c>
      <c r="M177" s="77">
        <v>0</v>
      </c>
      <c r="N177" s="77">
        <v>1001</v>
      </c>
    </row>
    <row r="178" spans="11:14">
      <c r="K178" s="77">
        <v>49.45</v>
      </c>
      <c r="L178" s="77">
        <v>49.44</v>
      </c>
      <c r="M178" s="77">
        <v>0</v>
      </c>
      <c r="N178" s="77">
        <v>1010</v>
      </c>
    </row>
    <row r="179" spans="11:14">
      <c r="K179" s="77">
        <v>49.83</v>
      </c>
      <c r="L179" s="77">
        <v>49.82</v>
      </c>
      <c r="M179" s="77">
        <v>0</v>
      </c>
      <c r="N179" s="77">
        <v>1011</v>
      </c>
    </row>
    <row r="180" spans="11:14">
      <c r="K180" s="77">
        <v>50.19</v>
      </c>
      <c r="L180" s="77">
        <v>50.18</v>
      </c>
      <c r="M180" s="77">
        <v>0</v>
      </c>
      <c r="N180" s="77">
        <v>1100</v>
      </c>
    </row>
    <row r="181" spans="11:14">
      <c r="K181" s="77">
        <v>50.56</v>
      </c>
      <c r="L181" s="77">
        <v>50.55</v>
      </c>
      <c r="M181" s="77">
        <v>0</v>
      </c>
      <c r="N181" s="77">
        <v>1101</v>
      </c>
    </row>
    <row r="182" spans="11:14">
      <c r="K182" s="77">
        <v>50.93</v>
      </c>
      <c r="L182" s="77">
        <v>50.92</v>
      </c>
      <c r="M182" s="77">
        <v>0</v>
      </c>
      <c r="N182" s="77">
        <v>1110</v>
      </c>
    </row>
    <row r="183" spans="11:14">
      <c r="K183" s="77">
        <v>51.31</v>
      </c>
      <c r="L183" s="77">
        <v>51.3</v>
      </c>
      <c r="M183" s="77">
        <v>0</v>
      </c>
      <c r="N183" s="77">
        <v>1111</v>
      </c>
    </row>
    <row r="184" spans="11:14">
      <c r="K184" s="77">
        <v>51.6</v>
      </c>
      <c r="L184" s="77">
        <v>51.59</v>
      </c>
      <c r="M184" s="77">
        <v>0</v>
      </c>
      <c r="N184" s="77">
        <v>10000</v>
      </c>
    </row>
    <row r="185" spans="11:14">
      <c r="K185" s="77">
        <v>51.98</v>
      </c>
      <c r="L185" s="77">
        <v>51.97</v>
      </c>
      <c r="M185" s="77">
        <v>0</v>
      </c>
      <c r="N185" s="77">
        <v>10001</v>
      </c>
    </row>
    <row r="186" spans="11:14">
      <c r="K186" s="77">
        <v>52.35</v>
      </c>
      <c r="L186" s="77">
        <v>52.34</v>
      </c>
      <c r="M186" s="77">
        <v>0</v>
      </c>
      <c r="N186" s="77">
        <v>10010</v>
      </c>
    </row>
    <row r="187" spans="11:14">
      <c r="K187" s="77">
        <v>52.73</v>
      </c>
      <c r="L187" s="77">
        <v>52.71</v>
      </c>
      <c r="M187" s="77">
        <v>0</v>
      </c>
      <c r="N187" s="77">
        <v>10011</v>
      </c>
    </row>
    <row r="188" spans="11:14">
      <c r="K188" s="77">
        <v>53.09</v>
      </c>
      <c r="L188" s="77">
        <v>53.07</v>
      </c>
      <c r="M188" s="77">
        <v>0</v>
      </c>
      <c r="N188" s="77">
        <v>10100</v>
      </c>
    </row>
    <row r="189" spans="11:14">
      <c r="K189" s="77">
        <v>53.46</v>
      </c>
      <c r="L189" s="77">
        <v>53.45</v>
      </c>
      <c r="M189" s="77">
        <v>0</v>
      </c>
      <c r="N189" s="77">
        <v>10101</v>
      </c>
    </row>
    <row r="190" spans="11:14">
      <c r="K190" s="77">
        <v>53.83</v>
      </c>
      <c r="L190" s="77">
        <v>53.82</v>
      </c>
      <c r="M190" s="77">
        <v>0</v>
      </c>
      <c r="N190" s="77">
        <v>10110</v>
      </c>
    </row>
    <row r="191" spans="11:14">
      <c r="K191" s="77">
        <v>54.21</v>
      </c>
      <c r="L191" s="77">
        <v>54.2</v>
      </c>
      <c r="M191" s="77">
        <v>0</v>
      </c>
      <c r="N191" s="77">
        <v>10111</v>
      </c>
    </row>
    <row r="192" spans="11:14">
      <c r="K192" s="77">
        <v>54.53</v>
      </c>
      <c r="L192" s="77">
        <v>54.52</v>
      </c>
      <c r="M192" s="77">
        <v>0</v>
      </c>
      <c r="N192" s="77">
        <v>11000</v>
      </c>
    </row>
    <row r="193" spans="11:14">
      <c r="K193" s="77">
        <v>54.91</v>
      </c>
      <c r="L193" s="77">
        <v>54.9</v>
      </c>
      <c r="M193" s="77">
        <v>0</v>
      </c>
      <c r="N193" s="77">
        <v>11001</v>
      </c>
    </row>
    <row r="194" spans="11:14">
      <c r="K194" s="77">
        <v>55.27</v>
      </c>
      <c r="L194" s="77">
        <v>55.26</v>
      </c>
      <c r="M194" s="77">
        <v>0</v>
      </c>
      <c r="N194" s="77">
        <v>11010</v>
      </c>
    </row>
    <row r="195" spans="11:14">
      <c r="K195" s="77">
        <v>55.65</v>
      </c>
      <c r="L195" s="77">
        <v>55.64</v>
      </c>
      <c r="M195" s="77">
        <v>0</v>
      </c>
      <c r="N195" s="77">
        <v>11011</v>
      </c>
    </row>
    <row r="196" spans="11:14">
      <c r="K196" s="77">
        <v>56.01</v>
      </c>
      <c r="L196" s="77">
        <v>56</v>
      </c>
      <c r="M196" s="77">
        <v>0</v>
      </c>
      <c r="N196" s="77">
        <v>11100</v>
      </c>
    </row>
    <row r="197" spans="11:14">
      <c r="K197" s="77">
        <v>56.39</v>
      </c>
      <c r="L197" s="77">
        <v>56.38</v>
      </c>
      <c r="M197" s="77">
        <v>0</v>
      </c>
      <c r="N197" s="77">
        <v>11101</v>
      </c>
    </row>
    <row r="198" spans="11:14">
      <c r="K198" s="77">
        <v>56.76</v>
      </c>
      <c r="L198" s="77">
        <v>56.75</v>
      </c>
      <c r="M198" s="77">
        <v>0</v>
      </c>
      <c r="N198" s="77">
        <v>11110</v>
      </c>
    </row>
    <row r="199" spans="11:14">
      <c r="K199" s="77">
        <v>57.13</v>
      </c>
      <c r="L199" s="77">
        <v>57.12</v>
      </c>
      <c r="M199" s="77">
        <v>0</v>
      </c>
      <c r="N199" s="77">
        <v>11111</v>
      </c>
    </row>
    <row r="200" spans="11:14">
      <c r="K200" s="77">
        <v>57.36</v>
      </c>
      <c r="L200" s="77">
        <v>57.35</v>
      </c>
      <c r="M200" s="77">
        <v>0</v>
      </c>
      <c r="N200" s="77">
        <v>100000</v>
      </c>
    </row>
    <row r="201" spans="11:14">
      <c r="K201" s="77">
        <v>57.74</v>
      </c>
      <c r="L201" s="77">
        <v>57.73</v>
      </c>
      <c r="M201" s="77">
        <v>0</v>
      </c>
      <c r="N201" s="77">
        <v>100001</v>
      </c>
    </row>
    <row r="202" spans="11:14">
      <c r="K202" s="77">
        <v>58.1</v>
      </c>
      <c r="L202" s="77">
        <v>58.09</v>
      </c>
      <c r="M202" s="77">
        <v>0</v>
      </c>
      <c r="N202" s="77">
        <v>100010</v>
      </c>
    </row>
    <row r="203" spans="11:14">
      <c r="K203" s="77">
        <v>58.48</v>
      </c>
      <c r="L203" s="77">
        <v>58.47</v>
      </c>
      <c r="M203" s="77">
        <v>0</v>
      </c>
      <c r="N203" s="77">
        <v>100011</v>
      </c>
    </row>
    <row r="204" spans="11:14">
      <c r="K204" s="77">
        <v>58.84</v>
      </c>
      <c r="L204" s="77">
        <v>58.83</v>
      </c>
      <c r="M204" s="77">
        <v>0</v>
      </c>
      <c r="N204" s="77">
        <v>100100</v>
      </c>
    </row>
    <row r="205" spans="11:14">
      <c r="K205" s="77">
        <v>59.22</v>
      </c>
      <c r="L205" s="77">
        <v>59.21</v>
      </c>
      <c r="M205" s="77">
        <v>0</v>
      </c>
      <c r="N205" s="77">
        <v>100101</v>
      </c>
    </row>
    <row r="206" spans="11:14">
      <c r="K206" s="77">
        <v>59.58</v>
      </c>
      <c r="L206" s="77">
        <v>59.58</v>
      </c>
      <c r="M206" s="77">
        <v>0</v>
      </c>
      <c r="N206" s="77">
        <v>100110</v>
      </c>
    </row>
    <row r="207" spans="11:14">
      <c r="K207" s="77">
        <v>59.96</v>
      </c>
      <c r="L207" s="77">
        <v>59.95</v>
      </c>
      <c r="M207" s="77">
        <v>0</v>
      </c>
      <c r="N207" s="77">
        <v>100111</v>
      </c>
    </row>
    <row r="208" spans="11:14">
      <c r="K208" s="77">
        <v>60.28</v>
      </c>
      <c r="L208" s="77">
        <v>60.27</v>
      </c>
      <c r="M208" s="77">
        <v>0</v>
      </c>
      <c r="N208" s="77">
        <v>101000</v>
      </c>
    </row>
    <row r="209" spans="11:14">
      <c r="K209" s="77">
        <v>60.66</v>
      </c>
      <c r="L209" s="77">
        <v>60.65</v>
      </c>
      <c r="M209" s="77">
        <v>0</v>
      </c>
      <c r="N209" s="77">
        <v>101001</v>
      </c>
    </row>
    <row r="210" spans="11:14">
      <c r="K210" s="77">
        <v>61.03</v>
      </c>
      <c r="L210" s="77">
        <v>61.02</v>
      </c>
      <c r="M210" s="77">
        <v>0</v>
      </c>
      <c r="N210" s="77">
        <v>101010</v>
      </c>
    </row>
    <row r="211" spans="11:14">
      <c r="K211" s="77">
        <v>61.41</v>
      </c>
      <c r="L211" s="77">
        <v>61.4</v>
      </c>
      <c r="M211" s="77">
        <v>0</v>
      </c>
      <c r="N211" s="77">
        <v>101011</v>
      </c>
    </row>
    <row r="212" spans="11:14">
      <c r="K212" s="77">
        <v>61.77</v>
      </c>
      <c r="L212" s="77">
        <v>61.76</v>
      </c>
      <c r="M212" s="77">
        <v>0</v>
      </c>
      <c r="N212" s="77">
        <v>101100</v>
      </c>
    </row>
    <row r="213" spans="11:14">
      <c r="K213" s="77">
        <v>62.14</v>
      </c>
      <c r="L213" s="77">
        <v>62.13</v>
      </c>
      <c r="M213" s="77">
        <v>0</v>
      </c>
      <c r="N213" s="77">
        <v>101101</v>
      </c>
    </row>
    <row r="214" spans="11:14">
      <c r="K214" s="77">
        <v>62.51</v>
      </c>
      <c r="L214" s="77">
        <v>62.5</v>
      </c>
      <c r="M214" s="77">
        <v>0</v>
      </c>
      <c r="N214" s="77">
        <v>101110</v>
      </c>
    </row>
    <row r="215" spans="11:14">
      <c r="K215" s="77">
        <v>62.89</v>
      </c>
      <c r="L215" s="77">
        <v>62.88</v>
      </c>
      <c r="M215" s="77">
        <v>0</v>
      </c>
      <c r="N215" s="77">
        <v>101111</v>
      </c>
    </row>
    <row r="216" spans="11:14">
      <c r="K216" s="77">
        <v>63.18</v>
      </c>
      <c r="L216" s="77">
        <v>63.17</v>
      </c>
      <c r="M216" s="77">
        <v>0</v>
      </c>
      <c r="N216" s="77">
        <v>110000</v>
      </c>
    </row>
    <row r="217" spans="11:14">
      <c r="K217" s="77">
        <v>63.56</v>
      </c>
      <c r="L217" s="77">
        <v>63.55</v>
      </c>
      <c r="M217" s="77">
        <v>0</v>
      </c>
      <c r="N217" s="77">
        <v>110001</v>
      </c>
    </row>
    <row r="218" spans="11:14">
      <c r="K218" s="77">
        <v>63.93</v>
      </c>
      <c r="L218" s="77">
        <v>63.92</v>
      </c>
      <c r="M218" s="77">
        <v>0</v>
      </c>
      <c r="N218" s="77">
        <v>110010</v>
      </c>
    </row>
    <row r="219" spans="11:14">
      <c r="K219" s="77">
        <v>64.31</v>
      </c>
      <c r="L219" s="77">
        <v>64.3</v>
      </c>
      <c r="M219" s="77">
        <v>0</v>
      </c>
      <c r="N219" s="77">
        <v>110011</v>
      </c>
    </row>
    <row r="220" spans="11:14">
      <c r="K220" s="77">
        <v>64.67</v>
      </c>
      <c r="L220" s="77">
        <v>64.66</v>
      </c>
      <c r="M220" s="77">
        <v>0</v>
      </c>
      <c r="N220" s="77">
        <v>110100</v>
      </c>
    </row>
    <row r="221" spans="11:14">
      <c r="K221" s="77">
        <v>65.040000000000006</v>
      </c>
      <c r="L221" s="77">
        <v>65.03</v>
      </c>
      <c r="M221" s="77">
        <v>0</v>
      </c>
      <c r="N221" s="77">
        <v>110101</v>
      </c>
    </row>
    <row r="222" spans="11:14">
      <c r="K222" s="77">
        <v>65.41</v>
      </c>
      <c r="L222" s="77">
        <v>65.400000000000006</v>
      </c>
      <c r="M222" s="77">
        <v>0</v>
      </c>
      <c r="N222" s="77">
        <v>110110</v>
      </c>
    </row>
    <row r="223" spans="11:14">
      <c r="K223" s="77">
        <v>65.790000000000006</v>
      </c>
      <c r="L223" s="77">
        <v>65.78</v>
      </c>
      <c r="M223" s="77">
        <v>0</v>
      </c>
      <c r="N223" s="77">
        <v>110111</v>
      </c>
    </row>
    <row r="224" spans="11:14">
      <c r="K224" s="77">
        <v>66.11</v>
      </c>
      <c r="L224" s="77">
        <v>66.099999999999994</v>
      </c>
      <c r="M224" s="77">
        <v>0</v>
      </c>
      <c r="N224" s="77">
        <v>111000</v>
      </c>
    </row>
    <row r="225" spans="11:14">
      <c r="K225" s="77">
        <v>66.489999999999995</v>
      </c>
      <c r="L225" s="77">
        <v>66.48</v>
      </c>
      <c r="M225" s="77">
        <v>0</v>
      </c>
      <c r="N225" s="77">
        <v>111001</v>
      </c>
    </row>
    <row r="226" spans="11:14">
      <c r="K226" s="77">
        <v>66.849999999999994</v>
      </c>
      <c r="L226" s="77">
        <v>66.849999999999994</v>
      </c>
      <c r="M226" s="77">
        <v>0</v>
      </c>
      <c r="N226" s="77">
        <v>111010</v>
      </c>
    </row>
    <row r="227" spans="11:14">
      <c r="K227" s="77">
        <v>67.23</v>
      </c>
      <c r="L227" s="77">
        <v>67.22</v>
      </c>
      <c r="M227" s="77">
        <v>0</v>
      </c>
      <c r="N227" s="77">
        <v>111011</v>
      </c>
    </row>
    <row r="228" spans="11:14">
      <c r="K228" s="77">
        <v>67.59</v>
      </c>
      <c r="L228" s="77">
        <v>67.58</v>
      </c>
      <c r="M228" s="77">
        <v>0</v>
      </c>
      <c r="N228" s="77">
        <v>111100</v>
      </c>
    </row>
    <row r="229" spans="11:14">
      <c r="K229" s="77">
        <v>67.97</v>
      </c>
      <c r="L229" s="77">
        <v>67.959999999999994</v>
      </c>
      <c r="M229" s="77">
        <v>0</v>
      </c>
      <c r="N229" s="77">
        <v>111101</v>
      </c>
    </row>
    <row r="230" spans="11:14">
      <c r="K230" s="77">
        <v>68.34</v>
      </c>
      <c r="L230" s="77">
        <v>68.33</v>
      </c>
      <c r="M230" s="77">
        <v>0</v>
      </c>
      <c r="N230" s="77">
        <v>111110</v>
      </c>
    </row>
    <row r="231" spans="11:14">
      <c r="K231" s="77">
        <v>68.709999999999994</v>
      </c>
      <c r="L231" s="77">
        <v>68.709999999999994</v>
      </c>
      <c r="M231" s="77">
        <v>0</v>
      </c>
      <c r="N231" s="77">
        <v>111111</v>
      </c>
    </row>
    <row r="232" spans="11:14">
      <c r="K232" s="77">
        <v>68.959999999999994</v>
      </c>
      <c r="L232" s="77">
        <v>68.95</v>
      </c>
      <c r="M232" s="77">
        <v>0</v>
      </c>
      <c r="N232" s="77">
        <v>1000000</v>
      </c>
    </row>
    <row r="233" spans="11:14">
      <c r="K233" s="77">
        <v>69.34</v>
      </c>
      <c r="L233" s="77">
        <v>69.33</v>
      </c>
      <c r="M233" s="77">
        <v>0</v>
      </c>
      <c r="N233" s="77">
        <v>1000001</v>
      </c>
    </row>
    <row r="234" spans="11:14">
      <c r="K234" s="77">
        <v>69.7</v>
      </c>
      <c r="L234" s="77">
        <v>69.69</v>
      </c>
      <c r="M234" s="77">
        <v>0</v>
      </c>
      <c r="N234" s="77">
        <v>1000010</v>
      </c>
    </row>
    <row r="235" spans="11:14">
      <c r="K235" s="77">
        <v>70.08</v>
      </c>
      <c r="L235" s="77">
        <v>70.069999999999993</v>
      </c>
      <c r="M235" s="77">
        <v>0</v>
      </c>
      <c r="N235" s="77">
        <v>1000011</v>
      </c>
    </row>
    <row r="236" spans="11:14">
      <c r="K236" s="77">
        <v>70.44</v>
      </c>
      <c r="L236" s="77">
        <v>70.430000000000007</v>
      </c>
      <c r="M236" s="77">
        <v>0</v>
      </c>
      <c r="N236" s="77">
        <v>1000100</v>
      </c>
    </row>
    <row r="237" spans="11:14">
      <c r="K237" s="77">
        <v>70.819999999999993</v>
      </c>
      <c r="L237" s="77">
        <v>70.81</v>
      </c>
      <c r="M237" s="77">
        <v>0</v>
      </c>
      <c r="N237" s="77">
        <v>1000101</v>
      </c>
    </row>
    <row r="238" spans="11:14">
      <c r="K238" s="77">
        <v>71.180000000000007</v>
      </c>
      <c r="L238" s="77">
        <v>71.17</v>
      </c>
      <c r="M238" s="77">
        <v>0</v>
      </c>
      <c r="N238" s="77">
        <v>1000110</v>
      </c>
    </row>
    <row r="239" spans="11:14">
      <c r="K239" s="77">
        <v>71.56</v>
      </c>
      <c r="L239" s="77">
        <v>71.55</v>
      </c>
      <c r="M239" s="77">
        <v>0</v>
      </c>
      <c r="N239" s="77">
        <v>1000111</v>
      </c>
    </row>
    <row r="240" spans="11:14">
      <c r="K240" s="77">
        <v>71.88</v>
      </c>
      <c r="L240" s="77">
        <v>71.87</v>
      </c>
      <c r="M240" s="77">
        <v>0</v>
      </c>
      <c r="N240" s="77">
        <v>1001000</v>
      </c>
    </row>
    <row r="241" spans="11:14">
      <c r="K241" s="77">
        <v>72.260000000000005</v>
      </c>
      <c r="L241" s="77">
        <v>72.25</v>
      </c>
      <c r="M241" s="77">
        <v>0</v>
      </c>
      <c r="N241" s="77">
        <v>1001001</v>
      </c>
    </row>
    <row r="242" spans="11:14">
      <c r="K242" s="77">
        <v>72.63</v>
      </c>
      <c r="L242" s="77">
        <v>72.62</v>
      </c>
      <c r="M242" s="77">
        <v>0</v>
      </c>
      <c r="N242" s="77">
        <v>1001010</v>
      </c>
    </row>
    <row r="243" spans="11:14">
      <c r="K243" s="77">
        <v>73</v>
      </c>
      <c r="L243" s="77">
        <v>73</v>
      </c>
      <c r="M243" s="77">
        <v>0</v>
      </c>
      <c r="N243" s="77">
        <v>1001011</v>
      </c>
    </row>
    <row r="244" spans="11:14">
      <c r="K244" s="77">
        <v>73.36</v>
      </c>
      <c r="L244" s="77">
        <v>73.36</v>
      </c>
      <c r="M244" s="77">
        <v>0</v>
      </c>
      <c r="N244" s="77">
        <v>1001100</v>
      </c>
    </row>
    <row r="245" spans="11:14">
      <c r="K245" s="77">
        <v>73.739999999999995</v>
      </c>
      <c r="L245" s="77">
        <v>73.73</v>
      </c>
      <c r="M245" s="77">
        <v>0</v>
      </c>
      <c r="N245" s="77">
        <v>1001101</v>
      </c>
    </row>
    <row r="246" spans="11:14">
      <c r="K246" s="77">
        <v>74.11</v>
      </c>
      <c r="L246" s="77">
        <v>74.099999999999994</v>
      </c>
      <c r="M246" s="77">
        <v>0</v>
      </c>
      <c r="N246" s="77">
        <v>1001110</v>
      </c>
    </row>
    <row r="247" spans="11:14">
      <c r="K247" s="77">
        <v>74.489999999999995</v>
      </c>
      <c r="L247" s="77">
        <v>74.48</v>
      </c>
      <c r="M247" s="77">
        <v>0</v>
      </c>
      <c r="N247" s="77">
        <v>1001111</v>
      </c>
    </row>
    <row r="248" spans="11:14">
      <c r="K248" s="77">
        <v>74.78</v>
      </c>
      <c r="L248" s="77">
        <v>74.77</v>
      </c>
      <c r="M248" s="77">
        <v>0</v>
      </c>
      <c r="N248" s="77">
        <v>1010000</v>
      </c>
    </row>
    <row r="249" spans="11:14">
      <c r="K249" s="77">
        <v>75.16</v>
      </c>
      <c r="L249" s="77">
        <v>75.150000000000006</v>
      </c>
      <c r="M249" s="77">
        <v>0</v>
      </c>
      <c r="N249" s="77">
        <v>1010001</v>
      </c>
    </row>
    <row r="250" spans="11:14">
      <c r="K250" s="77">
        <v>75.53</v>
      </c>
      <c r="L250" s="77">
        <v>75.52</v>
      </c>
      <c r="M250" s="77">
        <v>0</v>
      </c>
      <c r="N250" s="77">
        <v>1010010</v>
      </c>
    </row>
    <row r="251" spans="11:14">
      <c r="K251" s="77">
        <v>75.900000000000006</v>
      </c>
      <c r="L251" s="77">
        <v>75.89</v>
      </c>
      <c r="M251" s="77">
        <v>0</v>
      </c>
      <c r="N251" s="77">
        <v>1010011</v>
      </c>
    </row>
    <row r="252" spans="11:14">
      <c r="K252" s="77">
        <v>76.260000000000005</v>
      </c>
      <c r="L252" s="77">
        <v>76.25</v>
      </c>
      <c r="M252" s="77">
        <v>0</v>
      </c>
      <c r="N252" s="77">
        <v>1010100</v>
      </c>
    </row>
    <row r="253" spans="11:14">
      <c r="K253" s="77">
        <v>76.64</v>
      </c>
      <c r="L253" s="77">
        <v>76.63</v>
      </c>
      <c r="M253" s="77">
        <v>0</v>
      </c>
      <c r="N253" s="77">
        <v>1010101</v>
      </c>
    </row>
    <row r="254" spans="11:14">
      <c r="K254" s="77">
        <v>77.010000000000005</v>
      </c>
      <c r="L254" s="77">
        <v>77</v>
      </c>
      <c r="M254" s="77">
        <v>0</v>
      </c>
      <c r="N254" s="77">
        <v>1010110</v>
      </c>
    </row>
    <row r="255" spans="11:14">
      <c r="K255" s="77">
        <v>77.38</v>
      </c>
      <c r="L255" s="77">
        <v>77.38</v>
      </c>
      <c r="M255" s="77">
        <v>0</v>
      </c>
      <c r="N255" s="77">
        <v>1010111</v>
      </c>
    </row>
    <row r="256" spans="11:14">
      <c r="K256" s="77">
        <v>77.709999999999994</v>
      </c>
      <c r="L256" s="77">
        <v>77.7</v>
      </c>
      <c r="M256" s="77">
        <v>0</v>
      </c>
      <c r="N256" s="77">
        <v>1011000</v>
      </c>
    </row>
    <row r="257" spans="11:14">
      <c r="K257" s="77">
        <v>78.08</v>
      </c>
      <c r="L257" s="77">
        <v>78.08</v>
      </c>
      <c r="M257" s="77">
        <v>0</v>
      </c>
      <c r="N257" s="77">
        <v>1011001</v>
      </c>
    </row>
    <row r="258" spans="11:14">
      <c r="K258" s="77">
        <v>78.45</v>
      </c>
      <c r="L258" s="77">
        <v>78.44</v>
      </c>
      <c r="M258" s="77">
        <v>0</v>
      </c>
      <c r="N258" s="77">
        <v>1011010</v>
      </c>
    </row>
    <row r="259" spans="11:14">
      <c r="K259" s="77">
        <v>78.83</v>
      </c>
      <c r="L259" s="77">
        <v>78.819999999999993</v>
      </c>
      <c r="M259" s="77">
        <v>0</v>
      </c>
      <c r="N259" s="77">
        <v>1011011</v>
      </c>
    </row>
    <row r="260" spans="11:14">
      <c r="K260" s="77">
        <v>79.19</v>
      </c>
      <c r="L260" s="77">
        <v>79.180000000000007</v>
      </c>
      <c r="M260" s="77">
        <v>0</v>
      </c>
      <c r="N260" s="77">
        <v>1011100</v>
      </c>
    </row>
    <row r="261" spans="11:14">
      <c r="K261" s="77">
        <v>79.56</v>
      </c>
      <c r="L261" s="77">
        <v>79.56</v>
      </c>
      <c r="M261" s="77">
        <v>0</v>
      </c>
      <c r="N261" s="77">
        <v>1011101</v>
      </c>
    </row>
    <row r="262" spans="11:14">
      <c r="K262" s="77">
        <v>79.930000000000007</v>
      </c>
      <c r="L262" s="77">
        <v>79.930000000000007</v>
      </c>
      <c r="M262" s="77">
        <v>0</v>
      </c>
      <c r="N262" s="77">
        <v>1011110</v>
      </c>
    </row>
    <row r="263" spans="11:14">
      <c r="K263" s="77">
        <v>80.31</v>
      </c>
      <c r="L263" s="77">
        <v>80.3</v>
      </c>
      <c r="M263" s="77">
        <v>0</v>
      </c>
      <c r="N263" s="77">
        <v>1011111</v>
      </c>
    </row>
    <row r="264" spans="11:14">
      <c r="K264" s="77">
        <v>80.540000000000006</v>
      </c>
      <c r="L264" s="77">
        <v>80.53</v>
      </c>
      <c r="M264" s="77">
        <v>0</v>
      </c>
      <c r="N264" s="77">
        <v>1100000</v>
      </c>
    </row>
    <row r="265" spans="11:14">
      <c r="K265" s="77">
        <v>80.91</v>
      </c>
      <c r="L265" s="77">
        <v>80.91</v>
      </c>
      <c r="M265" s="77">
        <v>0</v>
      </c>
      <c r="N265" s="77">
        <v>1100001</v>
      </c>
    </row>
    <row r="266" spans="11:14">
      <c r="K266" s="77">
        <v>81.28</v>
      </c>
      <c r="L266" s="77">
        <v>81.27</v>
      </c>
      <c r="M266" s="77">
        <v>0</v>
      </c>
      <c r="N266" s="77">
        <v>1100010</v>
      </c>
    </row>
    <row r="267" spans="11:14">
      <c r="K267" s="77">
        <v>81.66</v>
      </c>
      <c r="L267" s="77">
        <v>81.650000000000006</v>
      </c>
      <c r="M267" s="77">
        <v>0</v>
      </c>
      <c r="N267" s="77">
        <v>1100011</v>
      </c>
    </row>
    <row r="268" spans="11:14">
      <c r="K268" s="77">
        <v>82.02</v>
      </c>
      <c r="L268" s="77">
        <v>82.01</v>
      </c>
      <c r="M268" s="77">
        <v>0</v>
      </c>
      <c r="N268" s="77">
        <v>1100100</v>
      </c>
    </row>
    <row r="269" spans="11:14">
      <c r="K269" s="77">
        <v>82.39</v>
      </c>
      <c r="L269" s="77">
        <v>82.39</v>
      </c>
      <c r="M269" s="77">
        <v>0</v>
      </c>
      <c r="N269" s="77">
        <v>1100101</v>
      </c>
    </row>
    <row r="270" spans="11:14">
      <c r="K270" s="77">
        <v>82.76</v>
      </c>
      <c r="L270" s="77">
        <v>82.75</v>
      </c>
      <c r="M270" s="77">
        <v>0</v>
      </c>
      <c r="N270" s="77">
        <v>1100110</v>
      </c>
    </row>
    <row r="271" spans="11:14">
      <c r="K271" s="77">
        <v>83.14</v>
      </c>
      <c r="L271" s="77">
        <v>83.13</v>
      </c>
      <c r="M271" s="77">
        <v>0</v>
      </c>
      <c r="N271" s="77">
        <v>1100111</v>
      </c>
    </row>
    <row r="272" spans="11:14">
      <c r="K272" s="77">
        <v>83.46</v>
      </c>
      <c r="L272" s="77">
        <v>83.45</v>
      </c>
      <c r="M272" s="77">
        <v>0</v>
      </c>
      <c r="N272" s="77">
        <v>1101000</v>
      </c>
    </row>
    <row r="273" spans="11:14">
      <c r="K273" s="77">
        <v>83.84</v>
      </c>
      <c r="L273" s="77">
        <v>83.83</v>
      </c>
      <c r="M273" s="77">
        <v>0</v>
      </c>
      <c r="N273" s="77">
        <v>1101001</v>
      </c>
    </row>
    <row r="274" spans="11:14">
      <c r="K274" s="77">
        <v>84.2</v>
      </c>
      <c r="L274" s="77">
        <v>84.2</v>
      </c>
      <c r="M274" s="77">
        <v>0</v>
      </c>
      <c r="N274" s="77">
        <v>1101010</v>
      </c>
    </row>
    <row r="275" spans="11:14">
      <c r="K275" s="77">
        <v>84.58</v>
      </c>
      <c r="L275" s="77">
        <v>84.58</v>
      </c>
      <c r="M275" s="77">
        <v>0</v>
      </c>
      <c r="N275" s="77">
        <v>1101011</v>
      </c>
    </row>
    <row r="276" spans="11:14">
      <c r="K276" s="77">
        <v>84.94</v>
      </c>
      <c r="L276" s="77">
        <v>84.94</v>
      </c>
      <c r="M276" s="77">
        <v>0</v>
      </c>
      <c r="N276" s="77">
        <v>1101100</v>
      </c>
    </row>
    <row r="277" spans="11:14">
      <c r="K277" s="77">
        <v>85.32</v>
      </c>
      <c r="L277" s="77">
        <v>85.31</v>
      </c>
      <c r="M277" s="77">
        <v>0</v>
      </c>
      <c r="N277" s="77">
        <v>1101101</v>
      </c>
    </row>
    <row r="278" spans="11:14">
      <c r="K278" s="77">
        <v>85.69</v>
      </c>
      <c r="L278" s="77">
        <v>85.68</v>
      </c>
      <c r="M278" s="77">
        <v>0</v>
      </c>
      <c r="N278" s="77">
        <v>1101110</v>
      </c>
    </row>
    <row r="279" spans="11:14">
      <c r="K279" s="77">
        <v>86.06</v>
      </c>
      <c r="L279" s="77">
        <v>86.06</v>
      </c>
      <c r="M279" s="77">
        <v>0</v>
      </c>
      <c r="N279" s="77">
        <v>1101111</v>
      </c>
    </row>
    <row r="280" spans="11:14">
      <c r="K280" s="77">
        <v>86.36</v>
      </c>
      <c r="L280" s="77">
        <v>86.35</v>
      </c>
      <c r="M280" s="77">
        <v>0</v>
      </c>
      <c r="N280" s="77">
        <v>1110000</v>
      </c>
    </row>
    <row r="281" spans="11:14">
      <c r="K281" s="77">
        <v>86.74</v>
      </c>
      <c r="L281" s="77">
        <v>86.73</v>
      </c>
      <c r="M281" s="77">
        <v>0</v>
      </c>
      <c r="N281" s="77">
        <v>1110001</v>
      </c>
    </row>
    <row r="282" spans="11:14">
      <c r="K282" s="77">
        <v>87.1</v>
      </c>
      <c r="L282" s="77">
        <v>87.1</v>
      </c>
      <c r="M282" s="77">
        <v>0</v>
      </c>
      <c r="N282" s="77">
        <v>1110010</v>
      </c>
    </row>
    <row r="283" spans="11:14">
      <c r="K283" s="77">
        <v>87.48</v>
      </c>
      <c r="L283" s="77">
        <v>87.48</v>
      </c>
      <c r="M283" s="77">
        <v>0</v>
      </c>
      <c r="N283" s="77">
        <v>1110011</v>
      </c>
    </row>
    <row r="284" spans="11:14">
      <c r="K284" s="77">
        <v>87.84</v>
      </c>
      <c r="L284" s="77">
        <v>87.84</v>
      </c>
      <c r="M284" s="77">
        <v>0</v>
      </c>
      <c r="N284" s="77">
        <v>1110100</v>
      </c>
    </row>
    <row r="285" spans="11:14">
      <c r="K285" s="77">
        <v>88.22</v>
      </c>
      <c r="L285" s="77">
        <v>88.21</v>
      </c>
      <c r="M285" s="77">
        <v>0</v>
      </c>
      <c r="N285" s="77">
        <v>1110101</v>
      </c>
    </row>
    <row r="286" spans="11:14">
      <c r="K286" s="77">
        <v>88.59</v>
      </c>
      <c r="L286" s="77">
        <v>88.58</v>
      </c>
      <c r="M286" s="77">
        <v>0</v>
      </c>
      <c r="N286" s="77">
        <v>1110110</v>
      </c>
    </row>
    <row r="287" spans="11:14">
      <c r="K287" s="77">
        <v>88.96</v>
      </c>
      <c r="L287" s="77">
        <v>88.96</v>
      </c>
      <c r="M287" s="77">
        <v>0</v>
      </c>
      <c r="N287" s="77">
        <v>1110111</v>
      </c>
    </row>
    <row r="288" spans="11:14">
      <c r="K288" s="77">
        <v>89.29</v>
      </c>
      <c r="L288" s="77">
        <v>89.28</v>
      </c>
      <c r="M288" s="77">
        <v>0</v>
      </c>
      <c r="N288" s="77">
        <v>1111000</v>
      </c>
    </row>
    <row r="289" spans="11:14">
      <c r="K289" s="77">
        <v>89.66</v>
      </c>
      <c r="L289" s="77">
        <v>89.66</v>
      </c>
      <c r="M289" s="77">
        <v>0</v>
      </c>
      <c r="N289" s="77">
        <v>1111001</v>
      </c>
    </row>
    <row r="290" spans="11:14">
      <c r="K290" s="77">
        <v>90.03</v>
      </c>
      <c r="L290" s="77">
        <v>90.02</v>
      </c>
      <c r="M290" s="77">
        <v>0</v>
      </c>
      <c r="N290" s="77">
        <v>1111010</v>
      </c>
    </row>
    <row r="291" spans="11:14">
      <c r="K291" s="77">
        <v>90.41</v>
      </c>
      <c r="L291" s="77">
        <v>90.4</v>
      </c>
      <c r="M291" s="77">
        <v>0</v>
      </c>
      <c r="N291" s="77">
        <v>1111011</v>
      </c>
    </row>
    <row r="292" spans="11:14">
      <c r="K292" s="77">
        <v>90.77</v>
      </c>
      <c r="L292" s="77">
        <v>90.76</v>
      </c>
      <c r="M292" s="77">
        <v>0</v>
      </c>
      <c r="N292" s="77">
        <v>1111100</v>
      </c>
    </row>
    <row r="293" spans="11:14">
      <c r="K293" s="77">
        <v>91.14</v>
      </c>
      <c r="L293" s="77">
        <v>91.14</v>
      </c>
      <c r="M293" s="77">
        <v>0</v>
      </c>
      <c r="N293" s="77">
        <v>1111101</v>
      </c>
    </row>
    <row r="294" spans="11:14">
      <c r="K294" s="77">
        <v>91.51</v>
      </c>
      <c r="L294" s="77">
        <v>91.51</v>
      </c>
      <c r="M294" s="77">
        <v>0</v>
      </c>
      <c r="N294" s="77">
        <v>1111110</v>
      </c>
    </row>
    <row r="295" spans="11:14">
      <c r="K295" s="77">
        <v>91.89</v>
      </c>
      <c r="L295" s="77">
        <v>91.89</v>
      </c>
      <c r="M295" s="77">
        <v>0</v>
      </c>
      <c r="N295" s="77">
        <v>1111111</v>
      </c>
    </row>
  </sheetData>
  <phoneticPr fontId="59" type="noConversion"/>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rgb="FFFFFF66"/>
  </sheetPr>
  <dimension ref="A1:AH295"/>
  <sheetViews>
    <sheetView topLeftCell="A15" zoomScaleNormal="100" workbookViewId="0">
      <selection activeCell="C29" sqref="C29"/>
    </sheetView>
  </sheetViews>
  <sheetFormatPr defaultColWidth="9.140625" defaultRowHeight="13.5"/>
  <cols>
    <col min="1" max="1" width="11.42578125" style="77" bestFit="1" customWidth="1"/>
    <col min="2" max="2" width="12.85546875" style="77" customWidth="1"/>
    <col min="3" max="3" width="9.85546875" style="77" customWidth="1"/>
    <col min="4" max="4" width="9.140625" style="77"/>
    <col min="5" max="5" width="10.140625" style="77" customWidth="1"/>
    <col min="6" max="11" width="9.140625" style="77"/>
    <col min="12" max="12" width="13.42578125" style="77" customWidth="1"/>
    <col min="13" max="16" width="9.140625" style="77"/>
    <col min="17" max="17" width="19.140625" style="77" customWidth="1"/>
    <col min="18" max="18" width="13.28515625" style="77" customWidth="1"/>
    <col min="19" max="19" width="11.5703125" style="77" customWidth="1"/>
    <col min="20" max="20" width="15.7109375" style="77" customWidth="1"/>
    <col min="21" max="21" width="17" style="77" customWidth="1"/>
    <col min="22" max="22" width="15.5703125" style="77" customWidth="1"/>
    <col min="23" max="23" width="9.140625" style="77"/>
    <col min="24" max="24" width="14.140625" style="77" customWidth="1"/>
    <col min="25" max="28" width="9.140625" style="77"/>
    <col min="29" max="29" width="14" style="77" customWidth="1"/>
    <col min="30" max="16384" width="9.140625" style="77"/>
  </cols>
  <sheetData>
    <row r="1" spans="1:14">
      <c r="B1" s="89"/>
    </row>
    <row r="3" spans="1:14">
      <c r="E3" s="83" t="s">
        <v>1023</v>
      </c>
    </row>
    <row r="4" spans="1:14">
      <c r="A4" s="88"/>
      <c r="B4" s="96" t="s">
        <v>1042</v>
      </c>
      <c r="C4" s="88" t="s">
        <v>1022</v>
      </c>
      <c r="E4" s="87" t="s">
        <v>1021</v>
      </c>
    </row>
    <row r="5" spans="1:14">
      <c r="A5" s="84" t="s">
        <v>1020</v>
      </c>
      <c r="B5" s="85">
        <f>AM65x_Ron_DQ_value</f>
        <v>48</v>
      </c>
      <c r="C5" s="86">
        <f>DRAM_Ron_value</f>
        <v>34.299999999999997</v>
      </c>
    </row>
    <row r="6" spans="1:14">
      <c r="A6" s="84" t="s">
        <v>1019</v>
      </c>
      <c r="B6" s="86">
        <f>AM65x_Rtt_value</f>
        <v>60</v>
      </c>
      <c r="C6" s="85">
        <f>DRAM_Rtt_value</f>
        <v>48</v>
      </c>
    </row>
    <row r="7" spans="1:14">
      <c r="A7" s="84" t="s">
        <v>1018</v>
      </c>
      <c r="B7" s="84">
        <v>1.1000000000000001</v>
      </c>
      <c r="C7" s="84">
        <v>1.1000000000000001</v>
      </c>
    </row>
    <row r="10" spans="1:14">
      <c r="C10" s="82"/>
    </row>
    <row r="11" spans="1:14" hidden="1">
      <c r="C11" s="82"/>
    </row>
    <row r="12" spans="1:14">
      <c r="B12" s="91"/>
      <c r="C12" s="82"/>
    </row>
    <row r="13" spans="1:14">
      <c r="C13" s="78"/>
    </row>
    <row r="15" spans="1:14">
      <c r="A15" s="81" t="s">
        <v>1015</v>
      </c>
      <c r="B15" s="81"/>
      <c r="C15" s="81"/>
      <c r="F15" s="92" t="s">
        <v>1015</v>
      </c>
      <c r="G15" s="81"/>
      <c r="H15" s="81"/>
      <c r="I15" s="81"/>
      <c r="J15" s="81"/>
      <c r="K15" s="81"/>
      <c r="N15" s="129">
        <f>1.1/3/2/1.1</f>
        <v>0.16666666666666666</v>
      </c>
    </row>
    <row r="16" spans="1:14" ht="14.25">
      <c r="A16" s="78" t="s">
        <v>1037</v>
      </c>
      <c r="F16" s="80"/>
    </row>
    <row r="17" spans="1:21" ht="27">
      <c r="B17" s="79" t="s">
        <v>1013</v>
      </c>
      <c r="C17" s="129">
        <f>B7/3</f>
        <v>0.3666666666666667</v>
      </c>
      <c r="D17" s="131" t="s">
        <v>1367</v>
      </c>
    </row>
    <row r="18" spans="1:21">
      <c r="B18" s="77" t="s">
        <v>1010</v>
      </c>
      <c r="C18" s="77">
        <v>0</v>
      </c>
      <c r="Q18" s="409" t="s">
        <v>2380</v>
      </c>
      <c r="T18" s="409" t="s">
        <v>2381</v>
      </c>
    </row>
    <row r="19" spans="1:21">
      <c r="B19" s="129" t="s">
        <v>1360</v>
      </c>
      <c r="C19" s="77">
        <f>((C17-C18)/2) + C18</f>
        <v>0.18333333333333335</v>
      </c>
      <c r="K19" s="77" t="s">
        <v>1027</v>
      </c>
      <c r="L19" s="93" t="s">
        <v>1041</v>
      </c>
      <c r="Q19" s="101" t="s">
        <v>1085</v>
      </c>
      <c r="R19" s="101" t="s">
        <v>1086</v>
      </c>
      <c r="T19" s="409" t="s">
        <v>1085</v>
      </c>
      <c r="U19" s="409" t="s">
        <v>1086</v>
      </c>
    </row>
    <row r="20" spans="1:21">
      <c r="B20" s="77" t="s">
        <v>1008</v>
      </c>
      <c r="C20" s="77">
        <f>C19*100/B7</f>
        <v>16.666666666666668</v>
      </c>
      <c r="H20" s="103" t="s">
        <v>1204</v>
      </c>
      <c r="J20" s="90">
        <f t="array" ref="J20">IF(Memory_Type="DDR4",MIN(IF(K40:K295&gt;=C21,K40:K295)),MIN(IF(L40:L295&gt;=C21,L40:L295)))</f>
        <v>16.850000000000001</v>
      </c>
      <c r="K20" s="77">
        <f>ABS(C21-J20)</f>
        <v>0.18333333333333357</v>
      </c>
      <c r="Q20" s="95">
        <f>B5</f>
        <v>48</v>
      </c>
      <c r="R20" s="95">
        <f>VLOOKUP($Q$20,$S$40:$T$52,2,FALSE)</f>
        <v>9</v>
      </c>
      <c r="T20" s="77">
        <f>AM65x_Ron_AC_value</f>
        <v>34.299999999999997</v>
      </c>
      <c r="U20" s="77" t="e">
        <f>VLOOKUP($T$20,$S$40:$T$48,2,FALSE)</f>
        <v>#N/A</v>
      </c>
    </row>
    <row r="21" spans="1:21">
      <c r="C21" s="77">
        <f>C20</f>
        <v>16.666666666666668</v>
      </c>
      <c r="D21" s="131" t="s">
        <v>1368</v>
      </c>
      <c r="H21" s="77" t="s">
        <v>1026</v>
      </c>
      <c r="J21" s="77">
        <f t="array" ref="J21">IF(Memory_Type="DDR4",MAX(IF(K40:K295&lt;C21,K40:K295)),MAX(IF(L40:L295&lt;C21,L40:L295)))</f>
        <v>16.47</v>
      </c>
      <c r="K21" s="77">
        <f>ABS(C21-J21)</f>
        <v>0.19666666666666899</v>
      </c>
      <c r="Q21" s="95"/>
      <c r="R21" s="95"/>
    </row>
    <row r="22" spans="1:21">
      <c r="H22" s="77" t="s">
        <v>1036</v>
      </c>
      <c r="K22" s="90">
        <f>IF(K20&lt;K21,J20,J21)</f>
        <v>16.850000000000001</v>
      </c>
      <c r="Q22" s="101" t="s">
        <v>42</v>
      </c>
      <c r="R22" s="95"/>
    </row>
    <row r="23" spans="1:21">
      <c r="H23" s="97" t="s">
        <v>1035</v>
      </c>
      <c r="K23" s="77">
        <f>IF(Memory_Type="DDR4",VLOOKUP(K22,K40:N295,3,FALSE),VLOOKUP(K22,L40:N295,2,FALSE))</f>
        <v>1</v>
      </c>
      <c r="L23" s="95" t="str">
        <f>BIN2HEX(K23)</f>
        <v>1</v>
      </c>
      <c r="Q23" s="95">
        <f>B6</f>
        <v>60</v>
      </c>
      <c r="R23" s="95">
        <f>VLOOKUP(Q23,S40:T52,2,FALSE)</f>
        <v>7</v>
      </c>
    </row>
    <row r="24" spans="1:21">
      <c r="H24" s="97" t="s">
        <v>1034</v>
      </c>
      <c r="K24" s="77">
        <f>IF(Memory_Type="DDR4",VLOOKUP(K22,K41:N296,4,FALSE),VLOOKUP(K22,L41:N296,3,FALSE))</f>
        <v>11001</v>
      </c>
      <c r="L24" s="95" t="str">
        <f>BIN2HEX(K24)</f>
        <v>19</v>
      </c>
      <c r="Q24" s="95"/>
      <c r="R24" s="95"/>
    </row>
    <row r="25" spans="1:21">
      <c r="A25" s="78" t="s">
        <v>1012</v>
      </c>
      <c r="Q25" s="95"/>
      <c r="R25" s="95"/>
    </row>
    <row r="26" spans="1:21">
      <c r="B26" s="77" t="s">
        <v>1011</v>
      </c>
      <c r="C26" s="77">
        <f>B7*C6/(B5+C6)</f>
        <v>0.55000000000000004</v>
      </c>
      <c r="Q26" s="95"/>
      <c r="R26" s="95"/>
    </row>
    <row r="27" spans="1:21">
      <c r="B27" s="77" t="s">
        <v>1010</v>
      </c>
      <c r="C27" s="77">
        <v>0</v>
      </c>
      <c r="Q27" s="101" t="s">
        <v>1085</v>
      </c>
      <c r="R27" s="101" t="s">
        <v>1086</v>
      </c>
    </row>
    <row r="28" spans="1:21">
      <c r="B28" s="129" t="s">
        <v>1360</v>
      </c>
      <c r="C28" s="77">
        <f>((C26-C27)/2) + C27</f>
        <v>0.27500000000000002</v>
      </c>
      <c r="D28" s="131"/>
      <c r="K28" s="77" t="s">
        <v>1027</v>
      </c>
      <c r="L28" s="94" t="s">
        <v>1040</v>
      </c>
      <c r="Q28" s="95">
        <f>C5</f>
        <v>34.299999999999997</v>
      </c>
      <c r="R28" s="95" t="e">
        <f>VLOOKUP(Q28,AB40:AC46,2,FALSE)</f>
        <v>#N/A</v>
      </c>
    </row>
    <row r="29" spans="1:21">
      <c r="B29" s="77" t="s">
        <v>1008</v>
      </c>
      <c r="C29" s="77">
        <f>C28*100/C7</f>
        <v>25</v>
      </c>
      <c r="H29" s="103" t="s">
        <v>1204</v>
      </c>
      <c r="J29" s="90">
        <f t="array" ref="J29">MIN(IF(B40:B116&gt;=C29,B40:B116))</f>
        <v>25.2</v>
      </c>
      <c r="K29" s="77">
        <f>ABS(C29-J29)</f>
        <v>0.19999999999999929</v>
      </c>
      <c r="L29" s="95"/>
      <c r="Q29" s="101"/>
      <c r="R29" s="95"/>
    </row>
    <row r="30" spans="1:21">
      <c r="H30" s="77" t="s">
        <v>1026</v>
      </c>
      <c r="J30" s="77">
        <f t="array" ref="J30">MAX(IF(B40:B116&lt;C29,B40:B116))</f>
        <v>24.8</v>
      </c>
      <c r="K30" s="77">
        <f>ABS(C29-J30)</f>
        <v>0.19999999999999929</v>
      </c>
      <c r="L30" s="95"/>
      <c r="Q30" s="101" t="s">
        <v>42</v>
      </c>
      <c r="R30" s="95"/>
    </row>
    <row r="31" spans="1:21">
      <c r="H31" s="77" t="s">
        <v>1028</v>
      </c>
      <c r="K31" s="90">
        <f>IF(K29&lt;K30,J29,J30)</f>
        <v>24.8</v>
      </c>
      <c r="L31" s="95"/>
      <c r="Q31" s="95">
        <f>C6</f>
        <v>48</v>
      </c>
      <c r="R31" s="95">
        <f>VLOOKUP(Q31,AB50:AC56,2,FALSE)</f>
        <v>5</v>
      </c>
    </row>
    <row r="32" spans="1:21">
      <c r="H32" s="129" t="s">
        <v>1365</v>
      </c>
      <c r="K32" s="77">
        <f>VLOOKUP(K31,B40:D141,2,FALSE)</f>
        <v>0</v>
      </c>
      <c r="L32" s="95" t="str">
        <f>BIN2HEX(K32)</f>
        <v>0</v>
      </c>
    </row>
    <row r="33" spans="2:34">
      <c r="H33" s="129" t="s">
        <v>1366</v>
      </c>
      <c r="K33" s="77">
        <f>VLOOKUP(K31,B40:D141,3,FALSE)</f>
        <v>100101</v>
      </c>
      <c r="L33" s="95" t="str">
        <f>BIN2HEX(K33)</f>
        <v>25</v>
      </c>
    </row>
    <row r="38" spans="2:34">
      <c r="B38" s="129" t="s">
        <v>1362</v>
      </c>
      <c r="I38" s="129" t="s">
        <v>1361</v>
      </c>
      <c r="Q38" s="377" t="s">
        <v>1042</v>
      </c>
      <c r="R38" s="99"/>
      <c r="S38" s="99"/>
      <c r="T38" s="99"/>
      <c r="U38" s="378"/>
      <c r="V38" s="378"/>
      <c r="W38" s="378"/>
      <c r="X38" s="378"/>
      <c r="Z38" s="99"/>
      <c r="AA38" s="379" t="s">
        <v>154</v>
      </c>
      <c r="AB38" s="97"/>
      <c r="AD38" s="98"/>
      <c r="AE38" s="99"/>
      <c r="AF38" s="98"/>
    </row>
    <row r="39" spans="2:34" ht="54">
      <c r="B39" s="77" t="s">
        <v>1032</v>
      </c>
      <c r="C39" s="129" t="s">
        <v>1364</v>
      </c>
      <c r="D39" s="129" t="s">
        <v>1363</v>
      </c>
      <c r="K39" s="77" t="s">
        <v>153</v>
      </c>
      <c r="L39" s="77" t="s">
        <v>154</v>
      </c>
      <c r="M39" s="77" t="s">
        <v>1033</v>
      </c>
      <c r="Q39" s="380" t="s">
        <v>1546</v>
      </c>
      <c r="R39" s="380" t="s">
        <v>1084</v>
      </c>
      <c r="S39" s="376" t="s">
        <v>1547</v>
      </c>
      <c r="T39" s="101" t="s">
        <v>1084</v>
      </c>
      <c r="U39" s="101"/>
      <c r="V39" s="101"/>
      <c r="W39" s="101"/>
      <c r="Y39" s="97"/>
      <c r="Z39" s="97"/>
      <c r="AA39" s="102" t="s">
        <v>1085</v>
      </c>
      <c r="AB39" s="99"/>
      <c r="AC39" s="97" t="s">
        <v>1173</v>
      </c>
      <c r="AF39" s="102"/>
      <c r="AG39" s="99"/>
      <c r="AH39" s="101"/>
    </row>
    <row r="40" spans="2:34">
      <c r="B40" s="77">
        <v>10</v>
      </c>
      <c r="C40" s="77">
        <v>0</v>
      </c>
      <c r="D40" s="77">
        <v>0</v>
      </c>
      <c r="K40" s="77">
        <v>7.73</v>
      </c>
      <c r="L40" s="77">
        <v>7.73</v>
      </c>
      <c r="M40" s="77">
        <v>1</v>
      </c>
      <c r="N40" s="77">
        <v>0</v>
      </c>
      <c r="Q40" s="95">
        <v>240</v>
      </c>
      <c r="R40" s="95">
        <v>1</v>
      </c>
      <c r="S40" s="95">
        <v>480</v>
      </c>
      <c r="T40" s="95">
        <v>0</v>
      </c>
      <c r="U40" s="95"/>
      <c r="V40" s="95"/>
      <c r="W40" s="95"/>
      <c r="Y40" s="100"/>
      <c r="AA40" s="130" t="s">
        <v>1101</v>
      </c>
      <c r="AB40" s="130" t="s">
        <v>1101</v>
      </c>
      <c r="AC40" s="95">
        <v>0</v>
      </c>
      <c r="AF40" s="101"/>
      <c r="AG40" s="101"/>
      <c r="AH40" s="95"/>
    </row>
    <row r="41" spans="2:34">
      <c r="B41" s="77">
        <v>10.4</v>
      </c>
      <c r="C41" s="77">
        <v>0</v>
      </c>
      <c r="D41" s="77">
        <v>1</v>
      </c>
      <c r="K41" s="77">
        <v>8.11</v>
      </c>
      <c r="L41" s="77">
        <v>8.11</v>
      </c>
      <c r="M41" s="77">
        <v>1</v>
      </c>
      <c r="N41" s="77">
        <v>1</v>
      </c>
      <c r="Q41" s="95">
        <v>120</v>
      </c>
      <c r="R41" s="95">
        <v>3</v>
      </c>
      <c r="S41" s="95">
        <v>240</v>
      </c>
      <c r="T41" s="95">
        <v>1</v>
      </c>
      <c r="U41" s="95"/>
      <c r="V41" s="95"/>
      <c r="W41" s="95"/>
      <c r="Y41" s="100"/>
      <c r="AA41" s="130" t="s">
        <v>1102</v>
      </c>
      <c r="AB41" s="95">
        <v>240</v>
      </c>
      <c r="AC41" s="95">
        <v>1</v>
      </c>
      <c r="AF41" s="101"/>
      <c r="AG41" s="101"/>
      <c r="AH41" s="95"/>
    </row>
    <row r="42" spans="2:34">
      <c r="B42" s="77">
        <v>10.8</v>
      </c>
      <c r="C42" s="77">
        <v>0</v>
      </c>
      <c r="D42" s="77">
        <v>10</v>
      </c>
      <c r="K42" s="77">
        <v>8.4700000000000006</v>
      </c>
      <c r="L42" s="77">
        <v>8.4700000000000006</v>
      </c>
      <c r="M42" s="77">
        <v>1</v>
      </c>
      <c r="N42" s="77">
        <v>10</v>
      </c>
      <c r="Q42" s="95">
        <v>80</v>
      </c>
      <c r="R42" s="95">
        <v>5</v>
      </c>
      <c r="S42" s="95">
        <v>160</v>
      </c>
      <c r="T42" s="95">
        <v>2</v>
      </c>
      <c r="U42" s="95"/>
      <c r="V42" s="95"/>
      <c r="W42" s="95"/>
      <c r="AA42" s="130" t="s">
        <v>79</v>
      </c>
      <c r="AB42" s="95">
        <v>120</v>
      </c>
      <c r="AC42" s="95">
        <v>2</v>
      </c>
      <c r="AF42" s="101"/>
      <c r="AG42" s="101"/>
      <c r="AH42" s="95"/>
    </row>
    <row r="43" spans="2:34">
      <c r="B43" s="77">
        <v>11.2</v>
      </c>
      <c r="C43" s="77">
        <v>0</v>
      </c>
      <c r="D43" s="77">
        <v>11</v>
      </c>
      <c r="K43" s="77">
        <v>8.85</v>
      </c>
      <c r="L43" s="77">
        <v>8.85</v>
      </c>
      <c r="M43" s="77">
        <v>1</v>
      </c>
      <c r="N43" s="77">
        <v>11</v>
      </c>
      <c r="Q43" s="95">
        <v>60</v>
      </c>
      <c r="R43" s="95">
        <v>7</v>
      </c>
      <c r="S43" s="95">
        <v>120</v>
      </c>
      <c r="T43" s="95">
        <v>3</v>
      </c>
      <c r="U43" s="95"/>
      <c r="V43" s="95"/>
      <c r="W43" s="95"/>
      <c r="AA43" s="130" t="s">
        <v>1104</v>
      </c>
      <c r="AB43" s="95">
        <v>80</v>
      </c>
      <c r="AC43" s="95">
        <v>3</v>
      </c>
      <c r="AF43" s="98"/>
      <c r="AG43" s="99"/>
      <c r="AH43" s="101"/>
    </row>
    <row r="44" spans="2:34">
      <c r="B44" s="77">
        <v>11.6</v>
      </c>
      <c r="C44" s="77">
        <v>0</v>
      </c>
      <c r="D44" s="77">
        <v>100</v>
      </c>
      <c r="K44" s="77">
        <v>9.2100000000000009</v>
      </c>
      <c r="L44" s="77">
        <v>9.2100000000000009</v>
      </c>
      <c r="M44" s="77">
        <v>1</v>
      </c>
      <c r="N44" s="77">
        <v>100</v>
      </c>
      <c r="Q44" s="95">
        <v>48</v>
      </c>
      <c r="R44" s="95">
        <v>9</v>
      </c>
      <c r="S44" s="95">
        <v>96</v>
      </c>
      <c r="T44" s="95">
        <v>4</v>
      </c>
      <c r="U44" s="95"/>
      <c r="V44" s="95"/>
      <c r="W44" s="95"/>
      <c r="AA44" s="130" t="s">
        <v>34</v>
      </c>
      <c r="AB44" s="95">
        <v>60</v>
      </c>
      <c r="AC44" s="95">
        <v>4</v>
      </c>
      <c r="AF44" s="101"/>
      <c r="AG44" s="101"/>
      <c r="AH44" s="95"/>
    </row>
    <row r="45" spans="2:34">
      <c r="B45" s="77">
        <v>12</v>
      </c>
      <c r="C45" s="77">
        <v>0</v>
      </c>
      <c r="D45" s="77">
        <v>101</v>
      </c>
      <c r="K45" s="77">
        <v>9.58</v>
      </c>
      <c r="L45" s="77">
        <v>9.59</v>
      </c>
      <c r="M45" s="77">
        <v>1</v>
      </c>
      <c r="N45" s="77">
        <v>101</v>
      </c>
      <c r="Q45" s="95">
        <v>40</v>
      </c>
      <c r="R45" s="95">
        <v>11</v>
      </c>
      <c r="S45" s="95">
        <v>80</v>
      </c>
      <c r="T45" s="95">
        <v>5</v>
      </c>
      <c r="U45" s="95"/>
      <c r="V45" s="95"/>
      <c r="W45" s="95"/>
      <c r="AA45" s="130" t="s">
        <v>1103</v>
      </c>
      <c r="AB45" s="95">
        <v>48</v>
      </c>
      <c r="AC45" s="95">
        <v>5</v>
      </c>
      <c r="AF45" s="101"/>
      <c r="AG45" s="95"/>
      <c r="AH45" s="95"/>
    </row>
    <row r="46" spans="2:34">
      <c r="B46" s="77">
        <v>12.4</v>
      </c>
      <c r="C46" s="77">
        <v>0</v>
      </c>
      <c r="D46" s="77">
        <v>110</v>
      </c>
      <c r="K46" s="77">
        <v>9.9499999999999993</v>
      </c>
      <c r="L46" s="77">
        <v>9.9600000000000009</v>
      </c>
      <c r="M46" s="77">
        <v>1</v>
      </c>
      <c r="N46" s="77">
        <v>110</v>
      </c>
      <c r="Q46" s="95">
        <v>34.299999999999997</v>
      </c>
      <c r="R46" s="95">
        <v>13</v>
      </c>
      <c r="S46" s="95">
        <v>60</v>
      </c>
      <c r="T46" s="95">
        <v>7</v>
      </c>
      <c r="U46" s="95"/>
      <c r="V46" s="95"/>
      <c r="W46" s="95"/>
      <c r="AA46" s="130" t="s">
        <v>78</v>
      </c>
      <c r="AB46" s="95">
        <v>40</v>
      </c>
      <c r="AC46" s="95">
        <v>6</v>
      </c>
      <c r="AF46" s="101"/>
      <c r="AG46" s="95"/>
      <c r="AH46" s="95"/>
    </row>
    <row r="47" spans="2:34">
      <c r="B47" s="77">
        <v>12.8</v>
      </c>
      <c r="C47" s="77">
        <v>0</v>
      </c>
      <c r="D47" s="77">
        <v>111</v>
      </c>
      <c r="K47" s="77">
        <v>10.33</v>
      </c>
      <c r="L47" s="77">
        <v>10.33</v>
      </c>
      <c r="M47" s="77">
        <v>1</v>
      </c>
      <c r="N47" s="77">
        <v>111</v>
      </c>
      <c r="Q47" s="380" t="s">
        <v>1101</v>
      </c>
      <c r="R47" s="380" t="s">
        <v>1101</v>
      </c>
      <c r="S47" s="95">
        <v>48</v>
      </c>
      <c r="T47" s="95">
        <v>9</v>
      </c>
      <c r="U47" s="95"/>
      <c r="V47" s="95"/>
      <c r="W47" s="95"/>
      <c r="AA47" s="375" t="s">
        <v>39</v>
      </c>
      <c r="AB47" s="95">
        <v>34.299999999999997</v>
      </c>
      <c r="AC47" s="95">
        <v>7</v>
      </c>
      <c r="AF47" s="101"/>
      <c r="AG47" s="95"/>
      <c r="AH47" s="95"/>
    </row>
    <row r="48" spans="2:34">
      <c r="B48" s="77">
        <v>13.2</v>
      </c>
      <c r="C48" s="77">
        <v>0</v>
      </c>
      <c r="D48" s="77">
        <v>1000</v>
      </c>
      <c r="K48" s="77">
        <v>10.65</v>
      </c>
      <c r="L48" s="77">
        <v>10.65</v>
      </c>
      <c r="M48" s="77">
        <v>1</v>
      </c>
      <c r="N48" s="77">
        <v>1000</v>
      </c>
      <c r="S48" s="95">
        <v>40</v>
      </c>
      <c r="T48" s="95">
        <v>11</v>
      </c>
      <c r="U48" s="95"/>
      <c r="V48" s="95"/>
      <c r="W48" s="95"/>
      <c r="AA48" s="130"/>
      <c r="AB48" s="95"/>
      <c r="AC48" s="95"/>
      <c r="AF48" s="101"/>
      <c r="AG48" s="95"/>
      <c r="AH48" s="95"/>
    </row>
    <row r="49" spans="2:34">
      <c r="B49" s="77">
        <v>13.6</v>
      </c>
      <c r="C49" s="77">
        <v>0</v>
      </c>
      <c r="D49" s="77">
        <v>1001</v>
      </c>
      <c r="K49" s="77">
        <v>11.03</v>
      </c>
      <c r="L49" s="77">
        <v>11.03</v>
      </c>
      <c r="M49" s="77">
        <v>1</v>
      </c>
      <c r="N49" s="77">
        <v>1001</v>
      </c>
      <c r="S49" s="95"/>
      <c r="T49" s="95"/>
      <c r="U49" s="95"/>
      <c r="V49" s="95"/>
      <c r="W49" s="95"/>
      <c r="AA49" s="98" t="s">
        <v>42</v>
      </c>
      <c r="AB49" s="99"/>
      <c r="AC49" s="97" t="s">
        <v>1173</v>
      </c>
      <c r="AF49" s="101"/>
      <c r="AG49" s="95"/>
      <c r="AH49" s="95"/>
    </row>
    <row r="50" spans="2:34">
      <c r="B50" s="77">
        <v>14</v>
      </c>
      <c r="C50" s="77">
        <v>0</v>
      </c>
      <c r="D50" s="77">
        <v>1010</v>
      </c>
      <c r="K50" s="77">
        <v>11.39</v>
      </c>
      <c r="L50" s="77">
        <v>11.4</v>
      </c>
      <c r="M50" s="77">
        <v>1</v>
      </c>
      <c r="N50" s="77">
        <v>1010</v>
      </c>
      <c r="S50" s="95"/>
      <c r="T50" s="95"/>
      <c r="U50" s="95"/>
      <c r="V50" s="95"/>
      <c r="W50" s="95"/>
      <c r="AA50" s="101" t="s">
        <v>1101</v>
      </c>
      <c r="AB50" s="101" t="s">
        <v>1101</v>
      </c>
      <c r="AC50" s="95">
        <v>0</v>
      </c>
    </row>
    <row r="51" spans="2:34">
      <c r="B51" s="77">
        <v>14.4</v>
      </c>
      <c r="C51" s="77">
        <v>0</v>
      </c>
      <c r="D51" s="77">
        <v>1011</v>
      </c>
      <c r="K51" s="77">
        <v>11.77</v>
      </c>
      <c r="L51" s="77">
        <v>11.78</v>
      </c>
      <c r="M51" s="77">
        <v>1</v>
      </c>
      <c r="N51" s="77">
        <v>1011</v>
      </c>
      <c r="S51" s="95"/>
      <c r="T51" s="95"/>
      <c r="U51" s="95"/>
      <c r="V51" s="95"/>
      <c r="W51" s="95"/>
      <c r="AA51" s="130" t="s">
        <v>1102</v>
      </c>
      <c r="AB51" s="95">
        <v>240</v>
      </c>
      <c r="AC51" s="95">
        <v>1</v>
      </c>
    </row>
    <row r="52" spans="2:34">
      <c r="B52" s="77">
        <v>14.8</v>
      </c>
      <c r="C52" s="77">
        <v>0</v>
      </c>
      <c r="D52" s="77">
        <v>1100</v>
      </c>
      <c r="K52" s="77">
        <v>12.13</v>
      </c>
      <c r="L52" s="77">
        <v>12.14</v>
      </c>
      <c r="M52" s="77">
        <v>1</v>
      </c>
      <c r="N52" s="77">
        <v>1100</v>
      </c>
      <c r="S52" s="95"/>
      <c r="T52" s="95"/>
      <c r="U52" s="95"/>
      <c r="V52" s="95"/>
      <c r="W52" s="95"/>
      <c r="AA52" s="101" t="s">
        <v>79</v>
      </c>
      <c r="AB52" s="95">
        <v>120</v>
      </c>
      <c r="AC52" s="95">
        <v>2</v>
      </c>
    </row>
    <row r="53" spans="2:34">
      <c r="B53" s="77">
        <v>15.2</v>
      </c>
      <c r="C53" s="77">
        <v>0</v>
      </c>
      <c r="D53" s="77">
        <v>1101</v>
      </c>
      <c r="K53" s="77">
        <v>12.51</v>
      </c>
      <c r="L53" s="77">
        <v>12.51</v>
      </c>
      <c r="M53" s="77">
        <v>1</v>
      </c>
      <c r="N53" s="77">
        <v>1101</v>
      </c>
      <c r="U53" s="95"/>
      <c r="V53" s="95"/>
      <c r="W53" s="95"/>
      <c r="AA53" s="130" t="s">
        <v>1104</v>
      </c>
      <c r="AB53" s="95">
        <v>80</v>
      </c>
      <c r="AC53" s="95">
        <v>3</v>
      </c>
    </row>
    <row r="54" spans="2:34">
      <c r="B54" s="77">
        <v>15.6</v>
      </c>
      <c r="C54" s="77">
        <v>0</v>
      </c>
      <c r="D54" s="77">
        <v>1110</v>
      </c>
      <c r="K54" s="77">
        <v>12.87</v>
      </c>
      <c r="L54" s="77">
        <v>12.88</v>
      </c>
      <c r="M54" s="77">
        <v>1</v>
      </c>
      <c r="N54" s="77">
        <v>1110</v>
      </c>
      <c r="U54" s="95"/>
      <c r="V54" s="95"/>
      <c r="W54" s="95"/>
      <c r="Y54" s="97"/>
      <c r="AA54" s="130" t="s">
        <v>34</v>
      </c>
      <c r="AB54" s="95">
        <v>60</v>
      </c>
      <c r="AC54" s="95">
        <v>4</v>
      </c>
    </row>
    <row r="55" spans="2:34">
      <c r="B55" s="77">
        <v>16</v>
      </c>
      <c r="C55" s="77">
        <v>0</v>
      </c>
      <c r="D55" s="77">
        <v>1111</v>
      </c>
      <c r="K55" s="77">
        <v>13.25</v>
      </c>
      <c r="L55" s="77">
        <v>13.26</v>
      </c>
      <c r="M55" s="77">
        <v>1</v>
      </c>
      <c r="N55" s="77">
        <v>1111</v>
      </c>
      <c r="U55" s="95"/>
      <c r="V55" s="95"/>
      <c r="W55" s="95"/>
      <c r="AA55" s="101" t="s">
        <v>1103</v>
      </c>
      <c r="AB55" s="95">
        <v>48</v>
      </c>
      <c r="AC55" s="95">
        <v>5</v>
      </c>
    </row>
    <row r="56" spans="2:34">
      <c r="B56" s="77">
        <v>16.399999999999999</v>
      </c>
      <c r="C56" s="77">
        <v>0</v>
      </c>
      <c r="D56" s="77">
        <v>10000</v>
      </c>
      <c r="K56" s="77">
        <v>13.55</v>
      </c>
      <c r="L56" s="77">
        <v>13.55</v>
      </c>
      <c r="M56" s="77">
        <v>1</v>
      </c>
      <c r="N56" s="77">
        <v>10000</v>
      </c>
      <c r="AA56" s="130" t="s">
        <v>78</v>
      </c>
      <c r="AB56" s="95">
        <v>40</v>
      </c>
      <c r="AC56" s="95">
        <v>6</v>
      </c>
    </row>
    <row r="57" spans="2:34">
      <c r="B57" s="77">
        <v>16.8</v>
      </c>
      <c r="C57" s="77">
        <v>0</v>
      </c>
      <c r="D57" s="77">
        <v>10001</v>
      </c>
      <c r="K57" s="77">
        <v>13.92</v>
      </c>
      <c r="L57" s="77">
        <v>13.93</v>
      </c>
      <c r="M57" s="77">
        <v>1</v>
      </c>
      <c r="N57" s="77">
        <v>10001</v>
      </c>
      <c r="AA57" s="375" t="s">
        <v>39</v>
      </c>
      <c r="AB57" s="95">
        <v>34.299999999999997</v>
      </c>
      <c r="AC57" s="95">
        <v>7</v>
      </c>
    </row>
    <row r="58" spans="2:34">
      <c r="B58" s="77">
        <v>17.2</v>
      </c>
      <c r="C58" s="77">
        <v>0</v>
      </c>
      <c r="D58" s="77">
        <v>10010</v>
      </c>
      <c r="K58" s="77">
        <v>14.29</v>
      </c>
      <c r="L58" s="77">
        <v>14.29</v>
      </c>
      <c r="M58" s="77">
        <v>1</v>
      </c>
      <c r="N58" s="77">
        <v>10010</v>
      </c>
      <c r="V58" s="97"/>
    </row>
    <row r="59" spans="2:34">
      <c r="B59" s="77">
        <v>17.600000000000001</v>
      </c>
      <c r="C59" s="77">
        <v>0</v>
      </c>
      <c r="D59" s="77">
        <v>10011</v>
      </c>
      <c r="K59" s="77">
        <v>14.67</v>
      </c>
      <c r="L59" s="77">
        <v>14.67</v>
      </c>
      <c r="M59" s="77">
        <v>1</v>
      </c>
      <c r="N59" s="77">
        <v>10011</v>
      </c>
    </row>
    <row r="60" spans="2:34">
      <c r="B60" s="77">
        <v>18</v>
      </c>
      <c r="C60" s="77">
        <v>0</v>
      </c>
      <c r="D60" s="77">
        <v>10100</v>
      </c>
      <c r="K60" s="77">
        <v>15.03</v>
      </c>
      <c r="L60" s="77">
        <v>15.03</v>
      </c>
      <c r="M60" s="77">
        <v>1</v>
      </c>
      <c r="N60" s="77">
        <v>10100</v>
      </c>
    </row>
    <row r="61" spans="2:34">
      <c r="B61" s="77">
        <v>18.399999999999999</v>
      </c>
      <c r="C61" s="77">
        <v>0</v>
      </c>
      <c r="D61" s="77">
        <v>10101</v>
      </c>
      <c r="K61" s="77">
        <v>15.4</v>
      </c>
      <c r="L61" s="77">
        <v>15.41</v>
      </c>
      <c r="M61" s="77">
        <v>1</v>
      </c>
      <c r="N61" s="77">
        <v>10101</v>
      </c>
    </row>
    <row r="62" spans="2:34">
      <c r="B62" s="77">
        <v>18.8</v>
      </c>
      <c r="C62" s="77">
        <v>0</v>
      </c>
      <c r="D62" s="77">
        <v>10110</v>
      </c>
      <c r="K62" s="77">
        <v>15.77</v>
      </c>
      <c r="L62" s="77">
        <v>15.78</v>
      </c>
      <c r="M62" s="77">
        <v>1</v>
      </c>
      <c r="N62" s="77">
        <v>10110</v>
      </c>
    </row>
    <row r="63" spans="2:34">
      <c r="B63" s="77">
        <v>19.2</v>
      </c>
      <c r="C63" s="77">
        <v>0</v>
      </c>
      <c r="D63" s="77">
        <v>10111</v>
      </c>
      <c r="K63" s="77">
        <v>16.149999999999999</v>
      </c>
      <c r="L63" s="77">
        <v>16.149999999999999</v>
      </c>
      <c r="M63" s="77">
        <v>1</v>
      </c>
      <c r="N63" s="77">
        <v>10111</v>
      </c>
    </row>
    <row r="64" spans="2:34">
      <c r="B64" s="77">
        <v>19.600000000000001</v>
      </c>
      <c r="C64" s="77">
        <v>0</v>
      </c>
      <c r="D64" s="77">
        <v>11000</v>
      </c>
      <c r="K64" s="77">
        <v>16.47</v>
      </c>
      <c r="L64" s="77">
        <v>16.47</v>
      </c>
      <c r="M64" s="77">
        <v>1</v>
      </c>
      <c r="N64" s="77">
        <v>11000</v>
      </c>
    </row>
    <row r="65" spans="2:14">
      <c r="B65" s="77">
        <v>20</v>
      </c>
      <c r="C65" s="77">
        <v>0</v>
      </c>
      <c r="D65" s="77">
        <v>11001</v>
      </c>
      <c r="K65" s="77">
        <v>16.850000000000001</v>
      </c>
      <c r="L65" s="77">
        <v>16.850000000000001</v>
      </c>
      <c r="M65" s="77">
        <v>1</v>
      </c>
      <c r="N65" s="77">
        <v>11001</v>
      </c>
    </row>
    <row r="66" spans="2:14">
      <c r="B66" s="77">
        <v>20.399999999999999</v>
      </c>
      <c r="C66" s="77">
        <v>0</v>
      </c>
      <c r="D66" s="77">
        <v>11010</v>
      </c>
      <c r="K66" s="77">
        <v>17.21</v>
      </c>
      <c r="L66" s="77">
        <v>17.22</v>
      </c>
      <c r="M66" s="77">
        <v>1</v>
      </c>
      <c r="N66" s="77">
        <v>11010</v>
      </c>
    </row>
    <row r="67" spans="2:14">
      <c r="B67" s="77">
        <v>20.8</v>
      </c>
      <c r="C67" s="77">
        <v>0</v>
      </c>
      <c r="D67" s="77">
        <v>11011</v>
      </c>
      <c r="K67" s="77">
        <v>17.59</v>
      </c>
      <c r="L67" s="77">
        <v>17.600000000000001</v>
      </c>
      <c r="M67" s="77">
        <v>1</v>
      </c>
      <c r="N67" s="77">
        <v>11011</v>
      </c>
    </row>
    <row r="68" spans="2:14">
      <c r="B68" s="77">
        <v>21.2</v>
      </c>
      <c r="C68" s="77">
        <v>0</v>
      </c>
      <c r="D68" s="77">
        <v>11100</v>
      </c>
      <c r="K68" s="77">
        <v>17.95</v>
      </c>
      <c r="L68" s="77">
        <v>17.96</v>
      </c>
      <c r="M68" s="77">
        <v>1</v>
      </c>
      <c r="N68" s="77">
        <v>11100</v>
      </c>
    </row>
    <row r="69" spans="2:14">
      <c r="B69" s="77">
        <v>21.6</v>
      </c>
      <c r="C69" s="77">
        <v>0</v>
      </c>
      <c r="D69" s="77">
        <v>11101</v>
      </c>
      <c r="K69" s="77">
        <v>18.329999999999998</v>
      </c>
      <c r="L69" s="77">
        <v>18.329999999999998</v>
      </c>
      <c r="M69" s="77">
        <v>1</v>
      </c>
      <c r="N69" s="77">
        <v>11101</v>
      </c>
    </row>
    <row r="70" spans="2:14">
      <c r="B70" s="77">
        <v>22</v>
      </c>
      <c r="C70" s="77">
        <v>0</v>
      </c>
      <c r="D70" s="77">
        <v>11110</v>
      </c>
      <c r="K70" s="77">
        <v>18.690000000000001</v>
      </c>
      <c r="L70" s="77">
        <v>18.7</v>
      </c>
      <c r="M70" s="77">
        <v>1</v>
      </c>
      <c r="N70" s="77">
        <v>11110</v>
      </c>
    </row>
    <row r="71" spans="2:14">
      <c r="B71" s="77">
        <v>22.4</v>
      </c>
      <c r="C71" s="77">
        <v>0</v>
      </c>
      <c r="D71" s="77">
        <v>11111</v>
      </c>
      <c r="K71" s="77">
        <v>19.07</v>
      </c>
      <c r="L71" s="77">
        <v>19.079999999999998</v>
      </c>
      <c r="M71" s="77">
        <v>1</v>
      </c>
      <c r="N71" s="77">
        <v>11111</v>
      </c>
    </row>
    <row r="72" spans="2:14">
      <c r="B72" s="77">
        <v>22.8</v>
      </c>
      <c r="C72" s="77">
        <v>0</v>
      </c>
      <c r="D72" s="77">
        <v>100000</v>
      </c>
      <c r="K72" s="77">
        <v>19.3</v>
      </c>
      <c r="L72" s="77">
        <v>19.3</v>
      </c>
      <c r="M72" s="77">
        <v>1</v>
      </c>
      <c r="N72" s="77">
        <v>100000</v>
      </c>
    </row>
    <row r="73" spans="2:14">
      <c r="B73" s="77">
        <v>23.2</v>
      </c>
      <c r="C73" s="77">
        <v>0</v>
      </c>
      <c r="D73" s="77">
        <v>100001</v>
      </c>
      <c r="K73" s="77">
        <v>19.670000000000002</v>
      </c>
      <c r="L73" s="77">
        <v>19.68</v>
      </c>
      <c r="M73" s="77">
        <v>1</v>
      </c>
      <c r="N73" s="77">
        <v>100001</v>
      </c>
    </row>
    <row r="74" spans="2:14">
      <c r="B74" s="77">
        <v>23.6</v>
      </c>
      <c r="C74" s="77">
        <v>0</v>
      </c>
      <c r="D74" s="77">
        <v>100010</v>
      </c>
      <c r="K74" s="77">
        <v>20.04</v>
      </c>
      <c r="L74" s="77">
        <v>20.04</v>
      </c>
      <c r="M74" s="77">
        <v>1</v>
      </c>
      <c r="N74" s="77">
        <v>100010</v>
      </c>
    </row>
    <row r="75" spans="2:14">
      <c r="B75" s="77">
        <v>24</v>
      </c>
      <c r="C75" s="77">
        <v>0</v>
      </c>
      <c r="D75" s="77">
        <v>100011</v>
      </c>
      <c r="K75" s="77">
        <v>20.420000000000002</v>
      </c>
      <c r="L75" s="77">
        <v>20.420000000000002</v>
      </c>
      <c r="M75" s="77">
        <v>1</v>
      </c>
      <c r="N75" s="77">
        <v>100011</v>
      </c>
    </row>
    <row r="76" spans="2:14">
      <c r="B76" s="77">
        <v>24.4</v>
      </c>
      <c r="C76" s="77">
        <v>0</v>
      </c>
      <c r="D76" s="77">
        <v>100100</v>
      </c>
      <c r="K76" s="77">
        <v>20.78</v>
      </c>
      <c r="L76" s="77">
        <v>20.78</v>
      </c>
      <c r="M76" s="77">
        <v>1</v>
      </c>
      <c r="N76" s="77">
        <v>100100</v>
      </c>
    </row>
    <row r="77" spans="2:14">
      <c r="B77" s="77">
        <v>24.8</v>
      </c>
      <c r="C77" s="77">
        <v>0</v>
      </c>
      <c r="D77" s="77">
        <v>100101</v>
      </c>
      <c r="K77" s="77">
        <v>21.15</v>
      </c>
      <c r="L77" s="77">
        <v>21.16</v>
      </c>
      <c r="M77" s="77">
        <v>1</v>
      </c>
      <c r="N77" s="77">
        <v>100101</v>
      </c>
    </row>
    <row r="78" spans="2:14">
      <c r="B78" s="77">
        <v>25.2</v>
      </c>
      <c r="C78" s="77">
        <v>0</v>
      </c>
      <c r="D78" s="77">
        <v>100110</v>
      </c>
      <c r="K78" s="77">
        <v>21.52</v>
      </c>
      <c r="L78" s="77">
        <v>21.53</v>
      </c>
      <c r="M78" s="77">
        <v>1</v>
      </c>
      <c r="N78" s="77">
        <v>100110</v>
      </c>
    </row>
    <row r="79" spans="2:14">
      <c r="B79" s="77">
        <v>25.6</v>
      </c>
      <c r="C79" s="77">
        <v>0</v>
      </c>
      <c r="D79" s="77">
        <v>100111</v>
      </c>
      <c r="K79" s="77">
        <v>21.9</v>
      </c>
      <c r="L79" s="77">
        <v>21.9</v>
      </c>
      <c r="M79" s="77">
        <v>1</v>
      </c>
      <c r="N79" s="77">
        <v>100111</v>
      </c>
    </row>
    <row r="80" spans="2:14">
      <c r="B80" s="77">
        <v>26</v>
      </c>
      <c r="C80" s="77">
        <v>0</v>
      </c>
      <c r="D80" s="77">
        <v>101000</v>
      </c>
      <c r="K80" s="77">
        <v>22.22</v>
      </c>
      <c r="L80" s="77">
        <v>22.22</v>
      </c>
      <c r="M80" s="77">
        <v>1</v>
      </c>
      <c r="N80" s="77">
        <v>101000</v>
      </c>
    </row>
    <row r="81" spans="2:14">
      <c r="B81" s="77">
        <v>26.4</v>
      </c>
      <c r="C81" s="77">
        <v>0</v>
      </c>
      <c r="D81" s="77">
        <v>101001</v>
      </c>
      <c r="K81" s="77">
        <v>22.6</v>
      </c>
      <c r="L81" s="77">
        <v>22.6</v>
      </c>
      <c r="M81" s="77">
        <v>1</v>
      </c>
      <c r="N81" s="77">
        <v>101001</v>
      </c>
    </row>
    <row r="82" spans="2:14">
      <c r="B82" s="77">
        <v>26.8</v>
      </c>
      <c r="C82" s="77">
        <v>0</v>
      </c>
      <c r="D82" s="77">
        <v>101010</v>
      </c>
      <c r="K82" s="77">
        <v>22.96</v>
      </c>
      <c r="L82" s="77">
        <v>22.97</v>
      </c>
      <c r="M82" s="77">
        <v>1</v>
      </c>
      <c r="N82" s="77">
        <v>101010</v>
      </c>
    </row>
    <row r="83" spans="2:14">
      <c r="B83" s="77">
        <v>27.2</v>
      </c>
      <c r="C83" s="77">
        <v>0</v>
      </c>
      <c r="D83" s="77">
        <v>101011</v>
      </c>
      <c r="K83" s="77">
        <v>23.34</v>
      </c>
      <c r="L83" s="77">
        <v>23.35</v>
      </c>
      <c r="M83" s="77">
        <v>1</v>
      </c>
      <c r="N83" s="77">
        <v>101011</v>
      </c>
    </row>
    <row r="84" spans="2:14">
      <c r="B84" s="77">
        <v>27.6</v>
      </c>
      <c r="C84" s="77">
        <v>0</v>
      </c>
      <c r="D84" s="77">
        <v>101100</v>
      </c>
      <c r="K84" s="77">
        <v>23.7</v>
      </c>
      <c r="L84" s="77">
        <v>23.71</v>
      </c>
      <c r="M84" s="77">
        <v>1</v>
      </c>
      <c r="N84" s="77">
        <v>101100</v>
      </c>
    </row>
    <row r="85" spans="2:14">
      <c r="B85" s="77">
        <v>28</v>
      </c>
      <c r="C85" s="77">
        <v>0</v>
      </c>
      <c r="D85" s="77">
        <v>101101</v>
      </c>
      <c r="K85" s="77">
        <v>24.08</v>
      </c>
      <c r="L85" s="77">
        <v>24.08</v>
      </c>
      <c r="M85" s="77">
        <v>1</v>
      </c>
      <c r="N85" s="77">
        <v>101101</v>
      </c>
    </row>
    <row r="86" spans="2:14">
      <c r="B86" s="77">
        <v>28.4</v>
      </c>
      <c r="C86" s="77">
        <v>0</v>
      </c>
      <c r="D86" s="77">
        <v>101110</v>
      </c>
      <c r="K86" s="77">
        <v>24.44</v>
      </c>
      <c r="L86" s="77">
        <v>24.45</v>
      </c>
      <c r="M86" s="77">
        <v>1</v>
      </c>
      <c r="N86" s="77">
        <v>101110</v>
      </c>
    </row>
    <row r="87" spans="2:14">
      <c r="B87" s="77">
        <v>28.8</v>
      </c>
      <c r="C87" s="77">
        <v>0</v>
      </c>
      <c r="D87" s="77">
        <v>101111</v>
      </c>
      <c r="K87" s="77">
        <v>24.82</v>
      </c>
      <c r="L87" s="77">
        <v>24.83</v>
      </c>
      <c r="M87" s="77">
        <v>1</v>
      </c>
      <c r="N87" s="77">
        <v>101111</v>
      </c>
    </row>
    <row r="88" spans="2:14">
      <c r="B88" s="77">
        <v>29.2</v>
      </c>
      <c r="C88" s="77">
        <v>0</v>
      </c>
      <c r="D88" s="77">
        <v>110000</v>
      </c>
      <c r="K88" s="77">
        <v>25.12</v>
      </c>
      <c r="L88" s="77">
        <v>25.12</v>
      </c>
      <c r="M88" s="77">
        <v>1</v>
      </c>
      <c r="N88" s="77">
        <v>110000</v>
      </c>
    </row>
    <row r="89" spans="2:14">
      <c r="B89" s="77">
        <v>29.6</v>
      </c>
      <c r="C89" s="77">
        <v>0</v>
      </c>
      <c r="D89" s="77">
        <v>110001</v>
      </c>
      <c r="K89" s="77">
        <v>25.49</v>
      </c>
      <c r="L89" s="77">
        <v>25.5</v>
      </c>
      <c r="M89" s="77">
        <v>1</v>
      </c>
      <c r="N89" s="77">
        <v>110001</v>
      </c>
    </row>
    <row r="90" spans="2:14">
      <c r="B90" s="77">
        <v>30</v>
      </c>
      <c r="C90" s="77">
        <v>0</v>
      </c>
      <c r="D90" s="77">
        <v>110010</v>
      </c>
      <c r="K90" s="77">
        <v>25.86</v>
      </c>
      <c r="L90" s="77">
        <v>25.87</v>
      </c>
      <c r="M90" s="77">
        <v>1</v>
      </c>
      <c r="N90" s="77">
        <v>110010</v>
      </c>
    </row>
    <row r="91" spans="2:14">
      <c r="B91" s="77">
        <v>22</v>
      </c>
      <c r="C91" s="77">
        <v>1</v>
      </c>
      <c r="D91" s="77">
        <v>0</v>
      </c>
      <c r="K91" s="77">
        <v>26.24</v>
      </c>
      <c r="L91" s="77">
        <v>26.24</v>
      </c>
      <c r="M91" s="77">
        <v>1</v>
      </c>
      <c r="N91" s="77">
        <v>110011</v>
      </c>
    </row>
    <row r="92" spans="2:14">
      <c r="B92" s="77">
        <v>22.4</v>
      </c>
      <c r="C92" s="77">
        <v>1</v>
      </c>
      <c r="D92" s="77">
        <v>1</v>
      </c>
      <c r="K92" s="77">
        <v>26.6</v>
      </c>
      <c r="L92" s="77">
        <v>26.6</v>
      </c>
      <c r="M92" s="77">
        <v>1</v>
      </c>
      <c r="N92" s="77">
        <v>110100</v>
      </c>
    </row>
    <row r="93" spans="2:14">
      <c r="B93" s="77">
        <v>22.8</v>
      </c>
      <c r="C93" s="77">
        <v>1</v>
      </c>
      <c r="D93" s="77">
        <v>10</v>
      </c>
      <c r="K93" s="77">
        <v>26.97</v>
      </c>
      <c r="L93" s="77">
        <v>26.98</v>
      </c>
      <c r="M93" s="77">
        <v>1</v>
      </c>
      <c r="N93" s="77">
        <v>110101</v>
      </c>
    </row>
    <row r="94" spans="2:14">
      <c r="B94" s="77">
        <v>23.2</v>
      </c>
      <c r="C94" s="77">
        <v>1</v>
      </c>
      <c r="D94" s="77">
        <v>11</v>
      </c>
      <c r="K94" s="77">
        <v>27.34</v>
      </c>
      <c r="L94" s="77">
        <v>27.35</v>
      </c>
      <c r="M94" s="77">
        <v>1</v>
      </c>
      <c r="N94" s="77">
        <v>110110</v>
      </c>
    </row>
    <row r="95" spans="2:14">
      <c r="B95" s="77">
        <v>23.6</v>
      </c>
      <c r="C95" s="77">
        <v>1</v>
      </c>
      <c r="D95" s="77">
        <v>100</v>
      </c>
      <c r="K95" s="77">
        <v>27.72</v>
      </c>
      <c r="L95" s="77">
        <v>27.73</v>
      </c>
      <c r="M95" s="77">
        <v>1</v>
      </c>
      <c r="N95" s="77">
        <v>110111</v>
      </c>
    </row>
    <row r="96" spans="2:14">
      <c r="B96" s="77">
        <v>24</v>
      </c>
      <c r="C96" s="77">
        <v>1</v>
      </c>
      <c r="D96" s="77">
        <v>101</v>
      </c>
      <c r="K96" s="77">
        <v>28.04</v>
      </c>
      <c r="L96" s="77">
        <v>28.05</v>
      </c>
      <c r="M96" s="77">
        <v>1</v>
      </c>
      <c r="N96" s="77">
        <v>111000</v>
      </c>
    </row>
    <row r="97" spans="2:14">
      <c r="B97" s="77">
        <v>24.4</v>
      </c>
      <c r="C97" s="77">
        <v>1</v>
      </c>
      <c r="D97" s="77">
        <v>110</v>
      </c>
      <c r="K97" s="77">
        <v>28.42</v>
      </c>
      <c r="L97" s="77">
        <v>28.42</v>
      </c>
      <c r="M97" s="77">
        <v>1</v>
      </c>
      <c r="N97" s="77">
        <v>111001</v>
      </c>
    </row>
    <row r="98" spans="2:14">
      <c r="B98" s="77">
        <v>24.8</v>
      </c>
      <c r="C98" s="77">
        <v>1</v>
      </c>
      <c r="D98" s="77">
        <v>111</v>
      </c>
      <c r="K98" s="77">
        <v>28.78</v>
      </c>
      <c r="L98" s="77">
        <v>28.79</v>
      </c>
      <c r="M98" s="77">
        <v>1</v>
      </c>
      <c r="N98" s="77">
        <v>111010</v>
      </c>
    </row>
    <row r="99" spans="2:14">
      <c r="B99" s="77">
        <v>25.2</v>
      </c>
      <c r="C99" s="77">
        <v>1</v>
      </c>
      <c r="D99" s="77">
        <v>1000</v>
      </c>
      <c r="K99" s="77">
        <v>29.16</v>
      </c>
      <c r="L99" s="77">
        <v>29.17</v>
      </c>
      <c r="M99" s="77">
        <v>1</v>
      </c>
      <c r="N99" s="77">
        <v>111011</v>
      </c>
    </row>
    <row r="100" spans="2:14">
      <c r="B100" s="77">
        <v>25.6</v>
      </c>
      <c r="C100" s="77">
        <v>1</v>
      </c>
      <c r="D100" s="77">
        <v>1001</v>
      </c>
      <c r="K100" s="77">
        <v>29.52</v>
      </c>
      <c r="L100" s="77">
        <v>29.53</v>
      </c>
      <c r="M100" s="77">
        <v>1</v>
      </c>
      <c r="N100" s="77">
        <v>111100</v>
      </c>
    </row>
    <row r="101" spans="2:14">
      <c r="B101" s="77">
        <v>26</v>
      </c>
      <c r="C101" s="77">
        <v>1</v>
      </c>
      <c r="D101" s="77">
        <v>1010</v>
      </c>
      <c r="K101" s="77">
        <v>29.9</v>
      </c>
      <c r="L101" s="77">
        <v>29.91</v>
      </c>
      <c r="M101" s="77">
        <v>1</v>
      </c>
      <c r="N101" s="77">
        <v>111101</v>
      </c>
    </row>
    <row r="102" spans="2:14">
      <c r="B102" s="77">
        <v>26.4</v>
      </c>
      <c r="C102" s="77">
        <v>1</v>
      </c>
      <c r="D102" s="77">
        <v>1011</v>
      </c>
      <c r="K102" s="77">
        <v>30.27</v>
      </c>
      <c r="L102" s="77">
        <v>30.27</v>
      </c>
      <c r="M102" s="77">
        <v>1</v>
      </c>
      <c r="N102" s="77">
        <v>111110</v>
      </c>
    </row>
    <row r="103" spans="2:14">
      <c r="B103" s="77">
        <v>26.8</v>
      </c>
      <c r="C103" s="77">
        <v>1</v>
      </c>
      <c r="D103" s="77">
        <v>1100</v>
      </c>
      <c r="K103" s="77">
        <v>30.64</v>
      </c>
      <c r="L103" s="77">
        <v>30.65</v>
      </c>
      <c r="M103" s="77">
        <v>1</v>
      </c>
      <c r="N103" s="77">
        <v>111111</v>
      </c>
    </row>
    <row r="104" spans="2:14">
      <c r="B104" s="77">
        <v>27.2</v>
      </c>
      <c r="C104" s="77">
        <v>1</v>
      </c>
      <c r="D104" s="77">
        <v>1101</v>
      </c>
      <c r="K104" s="77">
        <v>30.89</v>
      </c>
      <c r="L104" s="77">
        <v>30.89</v>
      </c>
      <c r="M104" s="77">
        <v>1</v>
      </c>
      <c r="N104" s="77">
        <v>1000000</v>
      </c>
    </row>
    <row r="105" spans="2:14">
      <c r="B105" s="77">
        <v>27.6</v>
      </c>
      <c r="C105" s="77">
        <v>1</v>
      </c>
      <c r="D105" s="77">
        <v>1110</v>
      </c>
      <c r="K105" s="77">
        <v>31.26</v>
      </c>
      <c r="L105" s="77">
        <v>31.27</v>
      </c>
      <c r="M105" s="77">
        <v>1</v>
      </c>
      <c r="N105" s="77">
        <v>1000001</v>
      </c>
    </row>
    <row r="106" spans="2:14">
      <c r="B106" s="77">
        <v>28</v>
      </c>
      <c r="C106" s="77">
        <v>1</v>
      </c>
      <c r="D106" s="77">
        <v>1111</v>
      </c>
      <c r="K106" s="77">
        <v>31.63</v>
      </c>
      <c r="L106" s="77">
        <v>31.63</v>
      </c>
      <c r="M106" s="77">
        <v>1</v>
      </c>
      <c r="N106" s="77">
        <v>1000010</v>
      </c>
    </row>
    <row r="107" spans="2:14">
      <c r="B107" s="77">
        <v>28.4</v>
      </c>
      <c r="C107" s="77">
        <v>1</v>
      </c>
      <c r="D107" s="77">
        <v>10000</v>
      </c>
      <c r="K107" s="77">
        <v>32.01</v>
      </c>
      <c r="L107" s="77">
        <v>32.01</v>
      </c>
      <c r="M107" s="77">
        <v>1</v>
      </c>
      <c r="N107" s="77">
        <v>1000011</v>
      </c>
    </row>
    <row r="108" spans="2:14">
      <c r="B108" s="77">
        <v>28.8</v>
      </c>
      <c r="C108" s="77">
        <v>1</v>
      </c>
      <c r="D108" s="77">
        <v>10001</v>
      </c>
      <c r="K108" s="77">
        <v>32.369999999999997</v>
      </c>
      <c r="L108" s="77">
        <v>32.369999999999997</v>
      </c>
      <c r="M108" s="77">
        <v>1</v>
      </c>
      <c r="N108" s="77">
        <v>1000100</v>
      </c>
    </row>
    <row r="109" spans="2:14">
      <c r="B109" s="77">
        <v>29.2</v>
      </c>
      <c r="C109" s="77">
        <v>1</v>
      </c>
      <c r="D109" s="77">
        <v>10010</v>
      </c>
      <c r="K109" s="77">
        <v>32.74</v>
      </c>
      <c r="L109" s="77">
        <v>32.75</v>
      </c>
      <c r="M109" s="77">
        <v>1</v>
      </c>
      <c r="N109" s="77">
        <v>1000101</v>
      </c>
    </row>
    <row r="110" spans="2:14">
      <c r="B110" s="77">
        <v>29.6</v>
      </c>
      <c r="C110" s="77">
        <v>1</v>
      </c>
      <c r="D110" s="77">
        <v>10011</v>
      </c>
      <c r="K110" s="77">
        <v>33.11</v>
      </c>
      <c r="L110" s="77">
        <v>33.119999999999997</v>
      </c>
      <c r="M110" s="77">
        <v>1</v>
      </c>
      <c r="N110" s="77">
        <v>1000110</v>
      </c>
    </row>
    <row r="111" spans="2:14">
      <c r="B111" s="77">
        <v>30</v>
      </c>
      <c r="C111" s="77">
        <v>1</v>
      </c>
      <c r="D111" s="77">
        <v>10100</v>
      </c>
      <c r="K111" s="77">
        <v>33.49</v>
      </c>
      <c r="L111" s="77">
        <v>33.49</v>
      </c>
      <c r="M111" s="77">
        <v>1</v>
      </c>
      <c r="N111" s="77">
        <v>1000111</v>
      </c>
    </row>
    <row r="112" spans="2:14">
      <c r="B112" s="77">
        <v>30.4</v>
      </c>
      <c r="C112" s="77">
        <v>1</v>
      </c>
      <c r="D112" s="77">
        <v>10101</v>
      </c>
      <c r="K112" s="77">
        <v>33.81</v>
      </c>
      <c r="L112" s="77">
        <v>33.81</v>
      </c>
      <c r="M112" s="77">
        <v>1</v>
      </c>
      <c r="N112" s="77">
        <v>1001000</v>
      </c>
    </row>
    <row r="113" spans="2:14">
      <c r="B113" s="77">
        <v>30.8</v>
      </c>
      <c r="C113" s="77">
        <v>1</v>
      </c>
      <c r="D113" s="77">
        <v>10110</v>
      </c>
      <c r="K113" s="77">
        <v>34.19</v>
      </c>
      <c r="L113" s="77">
        <v>34.19</v>
      </c>
      <c r="M113" s="77">
        <v>1</v>
      </c>
      <c r="N113" s="77">
        <v>1001001</v>
      </c>
    </row>
    <row r="114" spans="2:14">
      <c r="B114" s="77">
        <v>31.2</v>
      </c>
      <c r="C114" s="77">
        <v>1</v>
      </c>
      <c r="D114" s="77">
        <v>10111</v>
      </c>
      <c r="K114" s="77">
        <v>34.549999999999997</v>
      </c>
      <c r="L114" s="77">
        <v>34.56</v>
      </c>
      <c r="M114" s="77">
        <v>1</v>
      </c>
      <c r="N114" s="77">
        <v>1001010</v>
      </c>
    </row>
    <row r="115" spans="2:14">
      <c r="B115" s="77">
        <v>31.6</v>
      </c>
      <c r="C115" s="77">
        <v>1</v>
      </c>
      <c r="D115" s="77">
        <v>11000</v>
      </c>
      <c r="K115" s="77">
        <v>34.93</v>
      </c>
      <c r="L115" s="77">
        <v>34.94</v>
      </c>
      <c r="M115" s="77">
        <v>1</v>
      </c>
      <c r="N115" s="77">
        <v>1001011</v>
      </c>
    </row>
    <row r="116" spans="2:14">
      <c r="B116" s="77">
        <v>32</v>
      </c>
      <c r="C116" s="77">
        <v>1</v>
      </c>
      <c r="D116" s="77">
        <v>11001</v>
      </c>
      <c r="K116" s="77">
        <v>35.29</v>
      </c>
      <c r="L116" s="77">
        <v>35.299999999999997</v>
      </c>
      <c r="M116" s="77">
        <v>1</v>
      </c>
      <c r="N116" s="77">
        <v>1001100</v>
      </c>
    </row>
    <row r="117" spans="2:14">
      <c r="B117" s="77">
        <v>32.4</v>
      </c>
      <c r="C117" s="77">
        <v>1</v>
      </c>
      <c r="D117" s="77">
        <v>11010</v>
      </c>
      <c r="K117" s="77">
        <v>35.67</v>
      </c>
      <c r="L117" s="77">
        <v>35.67</v>
      </c>
      <c r="M117" s="77">
        <v>1</v>
      </c>
      <c r="N117" s="77">
        <v>1001101</v>
      </c>
    </row>
    <row r="118" spans="2:14">
      <c r="B118" s="77">
        <v>32.799999999999997</v>
      </c>
      <c r="C118" s="77">
        <v>1</v>
      </c>
      <c r="D118" s="77">
        <v>11011</v>
      </c>
      <c r="K118" s="77">
        <v>36.03</v>
      </c>
      <c r="L118" s="77">
        <v>36.04</v>
      </c>
      <c r="M118" s="77">
        <v>1</v>
      </c>
      <c r="N118" s="77">
        <v>1001110</v>
      </c>
    </row>
    <row r="119" spans="2:14">
      <c r="B119" s="77">
        <v>33.200000000000003</v>
      </c>
      <c r="C119" s="77">
        <v>1</v>
      </c>
      <c r="D119" s="77">
        <v>11100</v>
      </c>
      <c r="K119" s="77">
        <v>36.409999999999997</v>
      </c>
      <c r="L119" s="77">
        <v>36.42</v>
      </c>
      <c r="M119" s="77">
        <v>1</v>
      </c>
      <c r="N119" s="77">
        <v>1001111</v>
      </c>
    </row>
    <row r="120" spans="2:14">
      <c r="B120" s="77">
        <v>33.6</v>
      </c>
      <c r="C120" s="77">
        <v>1</v>
      </c>
      <c r="D120" s="77">
        <v>11101</v>
      </c>
      <c r="K120" s="77">
        <v>36.71</v>
      </c>
      <c r="L120" s="77">
        <v>36.71</v>
      </c>
      <c r="M120" s="77">
        <v>1</v>
      </c>
      <c r="N120" s="77">
        <v>1010000</v>
      </c>
    </row>
    <row r="121" spans="2:14">
      <c r="B121" s="77">
        <v>34</v>
      </c>
      <c r="C121" s="77">
        <v>1</v>
      </c>
      <c r="D121" s="77">
        <v>11110</v>
      </c>
      <c r="K121" s="77">
        <v>37.08</v>
      </c>
      <c r="L121" s="77">
        <v>37.090000000000003</v>
      </c>
      <c r="M121" s="77">
        <v>1</v>
      </c>
      <c r="N121" s="77">
        <v>1010001</v>
      </c>
    </row>
    <row r="122" spans="2:14">
      <c r="B122" s="77">
        <v>34.4</v>
      </c>
      <c r="C122" s="77">
        <v>1</v>
      </c>
      <c r="D122" s="77">
        <v>11111</v>
      </c>
      <c r="K122" s="77">
        <v>37.450000000000003</v>
      </c>
      <c r="L122" s="77">
        <v>37.46</v>
      </c>
      <c r="M122" s="77">
        <v>1</v>
      </c>
      <c r="N122" s="77">
        <v>1010010</v>
      </c>
    </row>
    <row r="123" spans="2:14">
      <c r="B123" s="77">
        <v>34.799999999999997</v>
      </c>
      <c r="C123" s="77">
        <v>1</v>
      </c>
      <c r="D123" s="77">
        <v>100000</v>
      </c>
      <c r="K123" s="77">
        <v>37.83</v>
      </c>
      <c r="L123" s="77">
        <v>37.83</v>
      </c>
      <c r="M123" s="77">
        <v>1</v>
      </c>
      <c r="N123" s="77">
        <v>1010011</v>
      </c>
    </row>
    <row r="124" spans="2:14">
      <c r="B124" s="77">
        <v>35.200000000000003</v>
      </c>
      <c r="C124" s="77">
        <v>1</v>
      </c>
      <c r="D124" s="77">
        <v>100001</v>
      </c>
      <c r="K124" s="77">
        <v>38.19</v>
      </c>
      <c r="L124" s="77">
        <v>38.19</v>
      </c>
      <c r="M124" s="77">
        <v>1</v>
      </c>
      <c r="N124" s="77">
        <v>1010100</v>
      </c>
    </row>
    <row r="125" spans="2:14">
      <c r="B125" s="77">
        <v>35.6</v>
      </c>
      <c r="C125" s="77">
        <v>1</v>
      </c>
      <c r="D125" s="77">
        <v>100010</v>
      </c>
      <c r="K125" s="77">
        <v>38.56</v>
      </c>
      <c r="L125" s="77">
        <v>38.57</v>
      </c>
      <c r="M125" s="77">
        <v>1</v>
      </c>
      <c r="N125" s="77">
        <v>1010101</v>
      </c>
    </row>
    <row r="126" spans="2:14">
      <c r="B126" s="77">
        <v>36</v>
      </c>
      <c r="C126" s="77">
        <v>1</v>
      </c>
      <c r="D126" s="77">
        <v>100011</v>
      </c>
      <c r="K126" s="77">
        <v>38.93</v>
      </c>
      <c r="L126" s="77">
        <v>38.94</v>
      </c>
      <c r="M126" s="77">
        <v>1</v>
      </c>
      <c r="N126" s="77">
        <v>1010110</v>
      </c>
    </row>
    <row r="127" spans="2:14">
      <c r="B127" s="77">
        <v>36.4</v>
      </c>
      <c r="C127" s="77">
        <v>1</v>
      </c>
      <c r="D127" s="77">
        <v>100100</v>
      </c>
      <c r="K127" s="77">
        <v>39.31</v>
      </c>
      <c r="L127" s="77">
        <v>39.32</v>
      </c>
      <c r="M127" s="77">
        <v>1</v>
      </c>
      <c r="N127" s="77">
        <v>1010111</v>
      </c>
    </row>
    <row r="128" spans="2:14">
      <c r="B128" s="77">
        <v>36.799999999999997</v>
      </c>
      <c r="C128" s="77">
        <v>1</v>
      </c>
      <c r="D128" s="77">
        <v>100101</v>
      </c>
      <c r="K128" s="77">
        <v>39.630000000000003</v>
      </c>
      <c r="L128" s="77">
        <v>39.64</v>
      </c>
      <c r="M128" s="77">
        <v>1</v>
      </c>
      <c r="N128" s="77">
        <v>1011000</v>
      </c>
    </row>
    <row r="129" spans="2:14">
      <c r="B129" s="77">
        <v>37.200000000000003</v>
      </c>
      <c r="C129" s="77">
        <v>1</v>
      </c>
      <c r="D129" s="77">
        <v>100110</v>
      </c>
      <c r="K129" s="77">
        <v>40.01</v>
      </c>
      <c r="L129" s="77">
        <v>40.01</v>
      </c>
      <c r="M129" s="77">
        <v>1</v>
      </c>
      <c r="N129" s="77">
        <v>1011001</v>
      </c>
    </row>
    <row r="130" spans="2:14">
      <c r="B130" s="77">
        <v>37.6</v>
      </c>
      <c r="C130" s="77">
        <v>1</v>
      </c>
      <c r="D130" s="77">
        <v>100111</v>
      </c>
      <c r="K130" s="77">
        <v>40.369999999999997</v>
      </c>
      <c r="L130" s="77">
        <v>40.380000000000003</v>
      </c>
      <c r="M130" s="77">
        <v>1</v>
      </c>
      <c r="N130" s="77">
        <v>1011010</v>
      </c>
    </row>
    <row r="131" spans="2:14">
      <c r="B131" s="77">
        <v>38</v>
      </c>
      <c r="C131" s="77">
        <v>1</v>
      </c>
      <c r="D131" s="77">
        <v>101000</v>
      </c>
      <c r="K131" s="77">
        <v>40.75</v>
      </c>
      <c r="L131" s="77">
        <v>40.76</v>
      </c>
      <c r="M131" s="77">
        <v>1</v>
      </c>
      <c r="N131" s="77">
        <v>1011011</v>
      </c>
    </row>
    <row r="132" spans="2:14">
      <c r="B132" s="77">
        <v>38.4</v>
      </c>
      <c r="C132" s="77">
        <v>1</v>
      </c>
      <c r="D132" s="77">
        <v>101001</v>
      </c>
      <c r="K132" s="77">
        <v>41.11</v>
      </c>
      <c r="L132" s="77">
        <v>41.12</v>
      </c>
      <c r="M132" s="77">
        <v>1</v>
      </c>
      <c r="N132" s="77">
        <v>1011100</v>
      </c>
    </row>
    <row r="133" spans="2:14">
      <c r="B133" s="77">
        <v>38.799999999999997</v>
      </c>
      <c r="C133" s="77">
        <v>1</v>
      </c>
      <c r="D133" s="77">
        <v>101010</v>
      </c>
      <c r="K133" s="77">
        <v>41.49</v>
      </c>
      <c r="L133" s="77">
        <v>41.5</v>
      </c>
      <c r="M133" s="77">
        <v>1</v>
      </c>
      <c r="N133" s="77">
        <v>1011101</v>
      </c>
    </row>
    <row r="134" spans="2:14">
      <c r="B134" s="77">
        <v>39.200000000000003</v>
      </c>
      <c r="C134" s="77">
        <v>1</v>
      </c>
      <c r="D134" s="77">
        <v>101011</v>
      </c>
      <c r="K134" s="77">
        <v>41.86</v>
      </c>
      <c r="L134" s="77">
        <v>41.86</v>
      </c>
      <c r="M134" s="77">
        <v>1</v>
      </c>
      <c r="N134" s="77">
        <v>1011110</v>
      </c>
    </row>
    <row r="135" spans="2:14">
      <c r="B135" s="77">
        <v>39.6</v>
      </c>
      <c r="C135" s="77">
        <v>1</v>
      </c>
      <c r="D135" s="77">
        <v>101100</v>
      </c>
      <c r="K135" s="77">
        <v>42.23</v>
      </c>
      <c r="L135" s="77">
        <v>42.24</v>
      </c>
      <c r="M135" s="77">
        <v>1</v>
      </c>
      <c r="N135" s="77">
        <v>1011111</v>
      </c>
    </row>
    <row r="136" spans="2:14">
      <c r="B136" s="77">
        <v>40</v>
      </c>
      <c r="C136" s="77">
        <v>1</v>
      </c>
      <c r="D136" s="77">
        <v>101101</v>
      </c>
      <c r="K136" s="77">
        <v>42.46</v>
      </c>
      <c r="L136" s="77">
        <v>42.46</v>
      </c>
      <c r="M136" s="77">
        <v>1</v>
      </c>
      <c r="N136" s="77">
        <v>1100000</v>
      </c>
    </row>
    <row r="137" spans="2:14">
      <c r="B137" s="77">
        <v>40.4</v>
      </c>
      <c r="C137" s="77">
        <v>1</v>
      </c>
      <c r="D137" s="77">
        <v>101110</v>
      </c>
      <c r="K137" s="77">
        <v>42.84</v>
      </c>
      <c r="L137" s="77">
        <v>42.84</v>
      </c>
      <c r="M137" s="77">
        <v>1</v>
      </c>
      <c r="N137" s="77">
        <v>1100001</v>
      </c>
    </row>
    <row r="138" spans="2:14">
      <c r="B138" s="77">
        <v>40.799999999999997</v>
      </c>
      <c r="C138" s="77">
        <v>1</v>
      </c>
      <c r="D138" s="77">
        <v>101111</v>
      </c>
      <c r="K138" s="77">
        <v>43.2</v>
      </c>
      <c r="L138" s="77">
        <v>43.21</v>
      </c>
      <c r="M138" s="77">
        <v>1</v>
      </c>
      <c r="N138" s="77">
        <v>1100010</v>
      </c>
    </row>
    <row r="139" spans="2:14">
      <c r="B139" s="77">
        <v>41.2</v>
      </c>
      <c r="C139" s="77">
        <v>1</v>
      </c>
      <c r="D139" s="77">
        <v>110000</v>
      </c>
      <c r="K139" s="77">
        <v>43.58</v>
      </c>
      <c r="L139" s="77">
        <v>43.59</v>
      </c>
      <c r="M139" s="77">
        <v>1</v>
      </c>
      <c r="N139" s="77">
        <v>1100011</v>
      </c>
    </row>
    <row r="140" spans="2:14">
      <c r="B140" s="77">
        <v>41.6</v>
      </c>
      <c r="C140" s="77">
        <v>1</v>
      </c>
      <c r="D140" s="77">
        <v>110001</v>
      </c>
      <c r="K140" s="77">
        <v>43.94</v>
      </c>
      <c r="L140" s="77">
        <v>43.95</v>
      </c>
      <c r="M140" s="77">
        <v>1</v>
      </c>
      <c r="N140" s="77">
        <v>1100100</v>
      </c>
    </row>
    <row r="141" spans="2:14">
      <c r="B141" s="77">
        <v>42</v>
      </c>
      <c r="C141" s="77">
        <v>1</v>
      </c>
      <c r="D141" s="77">
        <v>110010</v>
      </c>
      <c r="K141" s="77">
        <v>44.32</v>
      </c>
      <c r="L141" s="77">
        <v>44.32</v>
      </c>
      <c r="M141" s="77">
        <v>1</v>
      </c>
      <c r="N141" s="77">
        <v>1100101</v>
      </c>
    </row>
    <row r="142" spans="2:14">
      <c r="K142" s="77">
        <v>44.68</v>
      </c>
      <c r="L142" s="77">
        <v>44.69</v>
      </c>
      <c r="M142" s="77">
        <v>1</v>
      </c>
      <c r="N142" s="77">
        <v>1100110</v>
      </c>
    </row>
    <row r="143" spans="2:14">
      <c r="K143" s="77">
        <v>45.06</v>
      </c>
      <c r="L143" s="77">
        <v>45.07</v>
      </c>
      <c r="M143" s="77">
        <v>1</v>
      </c>
      <c r="N143" s="77">
        <v>1100111</v>
      </c>
    </row>
    <row r="144" spans="2:14">
      <c r="K144" s="77">
        <v>45.38</v>
      </c>
      <c r="L144" s="77">
        <v>45.39</v>
      </c>
      <c r="M144" s="77">
        <v>1</v>
      </c>
      <c r="N144" s="77">
        <v>1101000</v>
      </c>
    </row>
    <row r="145" spans="11:14">
      <c r="K145" s="77">
        <v>45.76</v>
      </c>
      <c r="L145" s="77">
        <v>45.77</v>
      </c>
      <c r="M145" s="77">
        <v>1</v>
      </c>
      <c r="N145" s="77">
        <v>1101001</v>
      </c>
    </row>
    <row r="146" spans="11:14">
      <c r="K146" s="77">
        <v>46.13</v>
      </c>
      <c r="L146" s="77">
        <v>46.14</v>
      </c>
      <c r="M146" s="77">
        <v>1</v>
      </c>
      <c r="N146" s="77">
        <v>1101010</v>
      </c>
    </row>
    <row r="147" spans="11:14">
      <c r="K147" s="77">
        <v>46.5</v>
      </c>
      <c r="L147" s="77">
        <v>46.51</v>
      </c>
      <c r="M147" s="77">
        <v>1</v>
      </c>
      <c r="N147" s="77">
        <v>1101011</v>
      </c>
    </row>
    <row r="148" spans="11:14">
      <c r="K148" s="77">
        <v>46.86</v>
      </c>
      <c r="L148" s="77">
        <v>46.87</v>
      </c>
      <c r="M148" s="77">
        <v>1</v>
      </c>
      <c r="N148" s="77">
        <v>1101100</v>
      </c>
    </row>
    <row r="149" spans="11:14">
      <c r="K149" s="77">
        <v>47.24</v>
      </c>
      <c r="L149" s="77">
        <v>47.25</v>
      </c>
      <c r="M149" s="77">
        <v>1</v>
      </c>
      <c r="N149" s="77">
        <v>1101101</v>
      </c>
    </row>
    <row r="150" spans="11:14">
      <c r="K150" s="77">
        <v>47.61</v>
      </c>
      <c r="L150" s="77">
        <v>47.62</v>
      </c>
      <c r="M150" s="77">
        <v>1</v>
      </c>
      <c r="N150" s="77">
        <v>1101110</v>
      </c>
    </row>
    <row r="151" spans="11:14">
      <c r="K151" s="77">
        <v>47.99</v>
      </c>
      <c r="L151" s="77">
        <v>48</v>
      </c>
      <c r="M151" s="77">
        <v>1</v>
      </c>
      <c r="N151" s="77">
        <v>1101111</v>
      </c>
    </row>
    <row r="152" spans="11:14">
      <c r="K152" s="77">
        <v>48.28</v>
      </c>
      <c r="L152" s="77">
        <v>48.29</v>
      </c>
      <c r="M152" s="77">
        <v>1</v>
      </c>
      <c r="N152" s="77">
        <v>1110000</v>
      </c>
    </row>
    <row r="153" spans="11:14">
      <c r="K153" s="77">
        <v>48.66</v>
      </c>
      <c r="L153" s="77">
        <v>48.67</v>
      </c>
      <c r="M153" s="77">
        <v>1</v>
      </c>
      <c r="N153" s="77">
        <v>1110001</v>
      </c>
    </row>
    <row r="154" spans="11:14">
      <c r="K154" s="77">
        <v>49.03</v>
      </c>
      <c r="L154" s="77">
        <v>49.03</v>
      </c>
      <c r="M154" s="77">
        <v>1</v>
      </c>
      <c r="N154" s="77">
        <v>1110010</v>
      </c>
    </row>
    <row r="155" spans="11:14">
      <c r="K155" s="77">
        <v>49.4</v>
      </c>
      <c r="L155" s="77">
        <v>49.41</v>
      </c>
      <c r="M155" s="77">
        <v>1</v>
      </c>
      <c r="N155" s="77">
        <v>1110011</v>
      </c>
    </row>
    <row r="156" spans="11:14">
      <c r="K156" s="77">
        <v>49.76</v>
      </c>
      <c r="L156" s="77">
        <v>49.77</v>
      </c>
      <c r="M156" s="77">
        <v>1</v>
      </c>
      <c r="N156" s="77">
        <v>1110100</v>
      </c>
    </row>
    <row r="157" spans="11:14">
      <c r="K157" s="77">
        <v>50.14</v>
      </c>
      <c r="L157" s="77">
        <v>50.15</v>
      </c>
      <c r="M157" s="77">
        <v>1</v>
      </c>
      <c r="N157" s="77">
        <v>1110101</v>
      </c>
    </row>
    <row r="158" spans="11:14">
      <c r="K158" s="77">
        <v>50.51</v>
      </c>
      <c r="L158" s="77">
        <v>50.52</v>
      </c>
      <c r="M158" s="77">
        <v>1</v>
      </c>
      <c r="N158" s="77">
        <v>1110110</v>
      </c>
    </row>
    <row r="159" spans="11:14">
      <c r="K159" s="77">
        <v>50.88</v>
      </c>
      <c r="L159" s="77">
        <v>50.89</v>
      </c>
      <c r="M159" s="77">
        <v>1</v>
      </c>
      <c r="N159" s="77">
        <v>1110111</v>
      </c>
    </row>
    <row r="160" spans="11:14">
      <c r="K160" s="77">
        <v>51.21</v>
      </c>
      <c r="L160" s="77">
        <v>51.22</v>
      </c>
      <c r="M160" s="77">
        <v>1</v>
      </c>
      <c r="N160" s="77">
        <v>1111000</v>
      </c>
    </row>
    <row r="161" spans="11:14">
      <c r="K161" s="77">
        <v>51.58</v>
      </c>
      <c r="L161" s="77">
        <v>51.59</v>
      </c>
      <c r="M161" s="77">
        <v>1</v>
      </c>
      <c r="N161" s="77">
        <v>1111001</v>
      </c>
    </row>
    <row r="162" spans="11:14">
      <c r="K162" s="77">
        <v>51.95</v>
      </c>
      <c r="L162" s="77">
        <v>51.96</v>
      </c>
      <c r="M162" s="77">
        <v>1</v>
      </c>
      <c r="N162" s="77">
        <v>1111010</v>
      </c>
    </row>
    <row r="163" spans="11:14">
      <c r="K163" s="77">
        <v>52.33</v>
      </c>
      <c r="L163" s="77">
        <v>52.34</v>
      </c>
      <c r="M163" s="77">
        <v>1</v>
      </c>
      <c r="N163" s="77">
        <v>1111011</v>
      </c>
    </row>
    <row r="164" spans="11:14">
      <c r="K164" s="77">
        <v>52.69</v>
      </c>
      <c r="L164" s="77">
        <v>52.7</v>
      </c>
      <c r="M164" s="77">
        <v>1</v>
      </c>
      <c r="N164" s="77">
        <v>1111100</v>
      </c>
    </row>
    <row r="165" spans="11:14">
      <c r="K165" s="77">
        <v>53.07</v>
      </c>
      <c r="L165" s="77">
        <v>53.08</v>
      </c>
      <c r="M165" s="77">
        <v>1</v>
      </c>
      <c r="N165" s="77">
        <v>1111101</v>
      </c>
    </row>
    <row r="166" spans="11:14">
      <c r="K166" s="77">
        <v>53.43</v>
      </c>
      <c r="L166" s="77">
        <v>53.44</v>
      </c>
      <c r="M166" s="77">
        <v>1</v>
      </c>
      <c r="N166" s="77">
        <v>1111110</v>
      </c>
    </row>
    <row r="167" spans="11:14">
      <c r="K167" s="77">
        <v>53.81</v>
      </c>
      <c r="L167" s="77">
        <v>53.82</v>
      </c>
      <c r="M167" s="77">
        <v>1</v>
      </c>
      <c r="N167" s="77">
        <v>1111111</v>
      </c>
    </row>
    <row r="168" spans="11:14">
      <c r="K168" s="77">
        <v>45.78</v>
      </c>
      <c r="L168" s="77">
        <v>45.77</v>
      </c>
      <c r="M168" s="77">
        <v>0</v>
      </c>
      <c r="N168" s="77">
        <v>0</v>
      </c>
    </row>
    <row r="169" spans="11:14">
      <c r="K169" s="77">
        <v>46.16</v>
      </c>
      <c r="L169" s="77">
        <v>46.15</v>
      </c>
      <c r="M169" s="77">
        <v>0</v>
      </c>
      <c r="N169" s="77">
        <v>1</v>
      </c>
    </row>
    <row r="170" spans="11:14">
      <c r="K170" s="77">
        <v>46.52</v>
      </c>
      <c r="L170" s="77">
        <v>46.51</v>
      </c>
      <c r="M170" s="77">
        <v>0</v>
      </c>
      <c r="N170" s="77">
        <v>10</v>
      </c>
    </row>
    <row r="171" spans="11:14">
      <c r="K171" s="77">
        <v>46.9</v>
      </c>
      <c r="L171" s="77">
        <v>46.89</v>
      </c>
      <c r="M171" s="77">
        <v>0</v>
      </c>
      <c r="N171" s="77">
        <v>11</v>
      </c>
    </row>
    <row r="172" spans="11:14">
      <c r="K172" s="77">
        <v>47.26</v>
      </c>
      <c r="L172" s="77">
        <v>47.25</v>
      </c>
      <c r="M172" s="77">
        <v>0</v>
      </c>
      <c r="N172" s="77">
        <v>100</v>
      </c>
    </row>
    <row r="173" spans="11:14">
      <c r="K173" s="77">
        <v>47.64</v>
      </c>
      <c r="L173" s="77">
        <v>47.63</v>
      </c>
      <c r="M173" s="77">
        <v>0</v>
      </c>
      <c r="N173" s="77">
        <v>101</v>
      </c>
    </row>
    <row r="174" spans="11:14">
      <c r="K174" s="77">
        <v>48.01</v>
      </c>
      <c r="L174" s="77">
        <v>47.99</v>
      </c>
      <c r="M174" s="77">
        <v>0</v>
      </c>
      <c r="N174" s="77">
        <v>110</v>
      </c>
    </row>
    <row r="175" spans="11:14">
      <c r="K175" s="77">
        <v>48.38</v>
      </c>
      <c r="L175" s="77">
        <v>48.37</v>
      </c>
      <c r="M175" s="77">
        <v>0</v>
      </c>
      <c r="N175" s="77">
        <v>111</v>
      </c>
    </row>
    <row r="176" spans="11:14">
      <c r="K176" s="77">
        <v>48.71</v>
      </c>
      <c r="L176" s="77">
        <v>48.69</v>
      </c>
      <c r="M176" s="77">
        <v>0</v>
      </c>
      <c r="N176" s="77">
        <v>1000</v>
      </c>
    </row>
    <row r="177" spans="11:14">
      <c r="K177" s="77">
        <v>49.08</v>
      </c>
      <c r="L177" s="77">
        <v>49.07</v>
      </c>
      <c r="M177" s="77">
        <v>0</v>
      </c>
      <c r="N177" s="77">
        <v>1001</v>
      </c>
    </row>
    <row r="178" spans="11:14">
      <c r="K178" s="77">
        <v>49.45</v>
      </c>
      <c r="L178" s="77">
        <v>49.44</v>
      </c>
      <c r="M178" s="77">
        <v>0</v>
      </c>
      <c r="N178" s="77">
        <v>1010</v>
      </c>
    </row>
    <row r="179" spans="11:14">
      <c r="K179" s="77">
        <v>49.83</v>
      </c>
      <c r="L179" s="77">
        <v>49.82</v>
      </c>
      <c r="M179" s="77">
        <v>0</v>
      </c>
      <c r="N179" s="77">
        <v>1011</v>
      </c>
    </row>
    <row r="180" spans="11:14">
      <c r="K180" s="77">
        <v>50.19</v>
      </c>
      <c r="L180" s="77">
        <v>50.18</v>
      </c>
      <c r="M180" s="77">
        <v>0</v>
      </c>
      <c r="N180" s="77">
        <v>1100</v>
      </c>
    </row>
    <row r="181" spans="11:14">
      <c r="K181" s="77">
        <v>50.56</v>
      </c>
      <c r="L181" s="77">
        <v>50.55</v>
      </c>
      <c r="M181" s="77">
        <v>0</v>
      </c>
      <c r="N181" s="77">
        <v>1101</v>
      </c>
    </row>
    <row r="182" spans="11:14">
      <c r="K182" s="77">
        <v>50.93</v>
      </c>
      <c r="L182" s="77">
        <v>50.92</v>
      </c>
      <c r="M182" s="77">
        <v>0</v>
      </c>
      <c r="N182" s="77">
        <v>1110</v>
      </c>
    </row>
    <row r="183" spans="11:14">
      <c r="K183" s="77">
        <v>51.31</v>
      </c>
      <c r="L183" s="77">
        <v>51.3</v>
      </c>
      <c r="M183" s="77">
        <v>0</v>
      </c>
      <c r="N183" s="77">
        <v>1111</v>
      </c>
    </row>
    <row r="184" spans="11:14">
      <c r="K184" s="77">
        <v>51.6</v>
      </c>
      <c r="L184" s="77">
        <v>51.59</v>
      </c>
      <c r="M184" s="77">
        <v>0</v>
      </c>
      <c r="N184" s="77">
        <v>10000</v>
      </c>
    </row>
    <row r="185" spans="11:14">
      <c r="K185" s="77">
        <v>51.98</v>
      </c>
      <c r="L185" s="77">
        <v>51.97</v>
      </c>
      <c r="M185" s="77">
        <v>0</v>
      </c>
      <c r="N185" s="77">
        <v>10001</v>
      </c>
    </row>
    <row r="186" spans="11:14">
      <c r="K186" s="77">
        <v>52.35</v>
      </c>
      <c r="L186" s="77">
        <v>52.34</v>
      </c>
      <c r="M186" s="77">
        <v>0</v>
      </c>
      <c r="N186" s="77">
        <v>10010</v>
      </c>
    </row>
    <row r="187" spans="11:14">
      <c r="K187" s="77">
        <v>52.73</v>
      </c>
      <c r="L187" s="77">
        <v>52.71</v>
      </c>
      <c r="M187" s="77">
        <v>0</v>
      </c>
      <c r="N187" s="77">
        <v>10011</v>
      </c>
    </row>
    <row r="188" spans="11:14">
      <c r="K188" s="77">
        <v>53.09</v>
      </c>
      <c r="L188" s="77">
        <v>53.07</v>
      </c>
      <c r="M188" s="77">
        <v>0</v>
      </c>
      <c r="N188" s="77">
        <v>10100</v>
      </c>
    </row>
    <row r="189" spans="11:14">
      <c r="K189" s="77">
        <v>53.46</v>
      </c>
      <c r="L189" s="77">
        <v>53.45</v>
      </c>
      <c r="M189" s="77">
        <v>0</v>
      </c>
      <c r="N189" s="77">
        <v>10101</v>
      </c>
    </row>
    <row r="190" spans="11:14">
      <c r="K190" s="77">
        <v>53.83</v>
      </c>
      <c r="L190" s="77">
        <v>53.82</v>
      </c>
      <c r="M190" s="77">
        <v>0</v>
      </c>
      <c r="N190" s="77">
        <v>10110</v>
      </c>
    </row>
    <row r="191" spans="11:14">
      <c r="K191" s="77">
        <v>54.21</v>
      </c>
      <c r="L191" s="77">
        <v>54.2</v>
      </c>
      <c r="M191" s="77">
        <v>0</v>
      </c>
      <c r="N191" s="77">
        <v>10111</v>
      </c>
    </row>
    <row r="192" spans="11:14">
      <c r="K192" s="77">
        <v>54.53</v>
      </c>
      <c r="L192" s="77">
        <v>54.52</v>
      </c>
      <c r="M192" s="77">
        <v>0</v>
      </c>
      <c r="N192" s="77">
        <v>11000</v>
      </c>
    </row>
    <row r="193" spans="11:14">
      <c r="K193" s="77">
        <v>54.91</v>
      </c>
      <c r="L193" s="77">
        <v>54.9</v>
      </c>
      <c r="M193" s="77">
        <v>0</v>
      </c>
      <c r="N193" s="77">
        <v>11001</v>
      </c>
    </row>
    <row r="194" spans="11:14">
      <c r="K194" s="77">
        <v>55.27</v>
      </c>
      <c r="L194" s="77">
        <v>55.26</v>
      </c>
      <c r="M194" s="77">
        <v>0</v>
      </c>
      <c r="N194" s="77">
        <v>11010</v>
      </c>
    </row>
    <row r="195" spans="11:14">
      <c r="K195" s="77">
        <v>55.65</v>
      </c>
      <c r="L195" s="77">
        <v>55.64</v>
      </c>
      <c r="M195" s="77">
        <v>0</v>
      </c>
      <c r="N195" s="77">
        <v>11011</v>
      </c>
    </row>
    <row r="196" spans="11:14">
      <c r="K196" s="77">
        <v>56.01</v>
      </c>
      <c r="L196" s="77">
        <v>56</v>
      </c>
      <c r="M196" s="77">
        <v>0</v>
      </c>
      <c r="N196" s="77">
        <v>11100</v>
      </c>
    </row>
    <row r="197" spans="11:14">
      <c r="K197" s="77">
        <v>56.39</v>
      </c>
      <c r="L197" s="77">
        <v>56.38</v>
      </c>
      <c r="M197" s="77">
        <v>0</v>
      </c>
      <c r="N197" s="77">
        <v>11101</v>
      </c>
    </row>
    <row r="198" spans="11:14">
      <c r="K198" s="77">
        <v>56.76</v>
      </c>
      <c r="L198" s="77">
        <v>56.75</v>
      </c>
      <c r="M198" s="77">
        <v>0</v>
      </c>
      <c r="N198" s="77">
        <v>11110</v>
      </c>
    </row>
    <row r="199" spans="11:14">
      <c r="K199" s="77">
        <v>57.13</v>
      </c>
      <c r="L199" s="77">
        <v>57.12</v>
      </c>
      <c r="M199" s="77">
        <v>0</v>
      </c>
      <c r="N199" s="77">
        <v>11111</v>
      </c>
    </row>
    <row r="200" spans="11:14">
      <c r="K200" s="77">
        <v>57.36</v>
      </c>
      <c r="L200" s="77">
        <v>57.35</v>
      </c>
      <c r="M200" s="77">
        <v>0</v>
      </c>
      <c r="N200" s="77">
        <v>100000</v>
      </c>
    </row>
    <row r="201" spans="11:14">
      <c r="K201" s="77">
        <v>57.74</v>
      </c>
      <c r="L201" s="77">
        <v>57.73</v>
      </c>
      <c r="M201" s="77">
        <v>0</v>
      </c>
      <c r="N201" s="77">
        <v>100001</v>
      </c>
    </row>
    <row r="202" spans="11:14">
      <c r="K202" s="77">
        <v>58.1</v>
      </c>
      <c r="L202" s="77">
        <v>58.09</v>
      </c>
      <c r="M202" s="77">
        <v>0</v>
      </c>
      <c r="N202" s="77">
        <v>100010</v>
      </c>
    </row>
    <row r="203" spans="11:14">
      <c r="K203" s="77">
        <v>58.48</v>
      </c>
      <c r="L203" s="77">
        <v>58.47</v>
      </c>
      <c r="M203" s="77">
        <v>0</v>
      </c>
      <c r="N203" s="77">
        <v>100011</v>
      </c>
    </row>
    <row r="204" spans="11:14">
      <c r="K204" s="77">
        <v>58.84</v>
      </c>
      <c r="L204" s="77">
        <v>58.83</v>
      </c>
      <c r="M204" s="77">
        <v>0</v>
      </c>
      <c r="N204" s="77">
        <v>100100</v>
      </c>
    </row>
    <row r="205" spans="11:14">
      <c r="K205" s="77">
        <v>59.22</v>
      </c>
      <c r="L205" s="77">
        <v>59.21</v>
      </c>
      <c r="M205" s="77">
        <v>0</v>
      </c>
      <c r="N205" s="77">
        <v>100101</v>
      </c>
    </row>
    <row r="206" spans="11:14">
      <c r="K206" s="77">
        <v>59.58</v>
      </c>
      <c r="L206" s="77">
        <v>59.58</v>
      </c>
      <c r="M206" s="77">
        <v>0</v>
      </c>
      <c r="N206" s="77">
        <v>100110</v>
      </c>
    </row>
    <row r="207" spans="11:14">
      <c r="K207" s="77">
        <v>59.96</v>
      </c>
      <c r="L207" s="77">
        <v>59.95</v>
      </c>
      <c r="M207" s="77">
        <v>0</v>
      </c>
      <c r="N207" s="77">
        <v>100111</v>
      </c>
    </row>
    <row r="208" spans="11:14">
      <c r="K208" s="77">
        <v>60.28</v>
      </c>
      <c r="L208" s="77">
        <v>60.27</v>
      </c>
      <c r="M208" s="77">
        <v>0</v>
      </c>
      <c r="N208" s="77">
        <v>101000</v>
      </c>
    </row>
    <row r="209" spans="11:14">
      <c r="K209" s="77">
        <v>60.66</v>
      </c>
      <c r="L209" s="77">
        <v>60.65</v>
      </c>
      <c r="M209" s="77">
        <v>0</v>
      </c>
      <c r="N209" s="77">
        <v>101001</v>
      </c>
    </row>
    <row r="210" spans="11:14">
      <c r="K210" s="77">
        <v>61.03</v>
      </c>
      <c r="L210" s="77">
        <v>61.02</v>
      </c>
      <c r="M210" s="77">
        <v>0</v>
      </c>
      <c r="N210" s="77">
        <v>101010</v>
      </c>
    </row>
    <row r="211" spans="11:14">
      <c r="K211" s="77">
        <v>61.41</v>
      </c>
      <c r="L211" s="77">
        <v>61.4</v>
      </c>
      <c r="M211" s="77">
        <v>0</v>
      </c>
      <c r="N211" s="77">
        <v>101011</v>
      </c>
    </row>
    <row r="212" spans="11:14">
      <c r="K212" s="77">
        <v>61.77</v>
      </c>
      <c r="L212" s="77">
        <v>61.76</v>
      </c>
      <c r="M212" s="77">
        <v>0</v>
      </c>
      <c r="N212" s="77">
        <v>101100</v>
      </c>
    </row>
    <row r="213" spans="11:14">
      <c r="K213" s="77">
        <v>62.14</v>
      </c>
      <c r="L213" s="77">
        <v>62.13</v>
      </c>
      <c r="M213" s="77">
        <v>0</v>
      </c>
      <c r="N213" s="77">
        <v>101101</v>
      </c>
    </row>
    <row r="214" spans="11:14">
      <c r="K214" s="77">
        <v>62.51</v>
      </c>
      <c r="L214" s="77">
        <v>62.5</v>
      </c>
      <c r="M214" s="77">
        <v>0</v>
      </c>
      <c r="N214" s="77">
        <v>101110</v>
      </c>
    </row>
    <row r="215" spans="11:14">
      <c r="K215" s="77">
        <v>62.89</v>
      </c>
      <c r="L215" s="77">
        <v>62.88</v>
      </c>
      <c r="M215" s="77">
        <v>0</v>
      </c>
      <c r="N215" s="77">
        <v>101111</v>
      </c>
    </row>
    <row r="216" spans="11:14">
      <c r="K216" s="77">
        <v>63.18</v>
      </c>
      <c r="L216" s="77">
        <v>63.17</v>
      </c>
      <c r="M216" s="77">
        <v>0</v>
      </c>
      <c r="N216" s="77">
        <v>110000</v>
      </c>
    </row>
    <row r="217" spans="11:14">
      <c r="K217" s="77">
        <v>63.56</v>
      </c>
      <c r="L217" s="77">
        <v>63.55</v>
      </c>
      <c r="M217" s="77">
        <v>0</v>
      </c>
      <c r="N217" s="77">
        <v>110001</v>
      </c>
    </row>
    <row r="218" spans="11:14">
      <c r="K218" s="77">
        <v>63.93</v>
      </c>
      <c r="L218" s="77">
        <v>63.92</v>
      </c>
      <c r="M218" s="77">
        <v>0</v>
      </c>
      <c r="N218" s="77">
        <v>110010</v>
      </c>
    </row>
    <row r="219" spans="11:14">
      <c r="K219" s="77">
        <v>64.31</v>
      </c>
      <c r="L219" s="77">
        <v>64.3</v>
      </c>
      <c r="M219" s="77">
        <v>0</v>
      </c>
      <c r="N219" s="77">
        <v>110011</v>
      </c>
    </row>
    <row r="220" spans="11:14">
      <c r="K220" s="77">
        <v>64.67</v>
      </c>
      <c r="L220" s="77">
        <v>64.66</v>
      </c>
      <c r="M220" s="77">
        <v>0</v>
      </c>
      <c r="N220" s="77">
        <v>110100</v>
      </c>
    </row>
    <row r="221" spans="11:14">
      <c r="K221" s="77">
        <v>65.040000000000006</v>
      </c>
      <c r="L221" s="77">
        <v>65.03</v>
      </c>
      <c r="M221" s="77">
        <v>0</v>
      </c>
      <c r="N221" s="77">
        <v>110101</v>
      </c>
    </row>
    <row r="222" spans="11:14">
      <c r="K222" s="77">
        <v>65.41</v>
      </c>
      <c r="L222" s="77">
        <v>65.400000000000006</v>
      </c>
      <c r="M222" s="77">
        <v>0</v>
      </c>
      <c r="N222" s="77">
        <v>110110</v>
      </c>
    </row>
    <row r="223" spans="11:14">
      <c r="K223" s="77">
        <v>65.790000000000006</v>
      </c>
      <c r="L223" s="77">
        <v>65.78</v>
      </c>
      <c r="M223" s="77">
        <v>0</v>
      </c>
      <c r="N223" s="77">
        <v>110111</v>
      </c>
    </row>
    <row r="224" spans="11:14">
      <c r="K224" s="77">
        <v>66.11</v>
      </c>
      <c r="L224" s="77">
        <v>66.099999999999994</v>
      </c>
      <c r="M224" s="77">
        <v>0</v>
      </c>
      <c r="N224" s="77">
        <v>111000</v>
      </c>
    </row>
    <row r="225" spans="11:14">
      <c r="K225" s="77">
        <v>66.489999999999995</v>
      </c>
      <c r="L225" s="77">
        <v>66.48</v>
      </c>
      <c r="M225" s="77">
        <v>0</v>
      </c>
      <c r="N225" s="77">
        <v>111001</v>
      </c>
    </row>
    <row r="226" spans="11:14">
      <c r="K226" s="77">
        <v>66.849999999999994</v>
      </c>
      <c r="L226" s="77">
        <v>66.849999999999994</v>
      </c>
      <c r="M226" s="77">
        <v>0</v>
      </c>
      <c r="N226" s="77">
        <v>111010</v>
      </c>
    </row>
    <row r="227" spans="11:14">
      <c r="K227" s="77">
        <v>67.23</v>
      </c>
      <c r="L227" s="77">
        <v>67.22</v>
      </c>
      <c r="M227" s="77">
        <v>0</v>
      </c>
      <c r="N227" s="77">
        <v>111011</v>
      </c>
    </row>
    <row r="228" spans="11:14">
      <c r="K228" s="77">
        <v>67.59</v>
      </c>
      <c r="L228" s="77">
        <v>67.58</v>
      </c>
      <c r="M228" s="77">
        <v>0</v>
      </c>
      <c r="N228" s="77">
        <v>111100</v>
      </c>
    </row>
    <row r="229" spans="11:14">
      <c r="K229" s="77">
        <v>67.97</v>
      </c>
      <c r="L229" s="77">
        <v>67.959999999999994</v>
      </c>
      <c r="M229" s="77">
        <v>0</v>
      </c>
      <c r="N229" s="77">
        <v>111101</v>
      </c>
    </row>
    <row r="230" spans="11:14">
      <c r="K230" s="77">
        <v>68.34</v>
      </c>
      <c r="L230" s="77">
        <v>68.33</v>
      </c>
      <c r="M230" s="77">
        <v>0</v>
      </c>
      <c r="N230" s="77">
        <v>111110</v>
      </c>
    </row>
    <row r="231" spans="11:14">
      <c r="K231" s="77">
        <v>68.709999999999994</v>
      </c>
      <c r="L231" s="77">
        <v>68.709999999999994</v>
      </c>
      <c r="M231" s="77">
        <v>0</v>
      </c>
      <c r="N231" s="77">
        <v>111111</v>
      </c>
    </row>
    <row r="232" spans="11:14">
      <c r="K232" s="77">
        <v>68.959999999999994</v>
      </c>
      <c r="L232" s="77">
        <v>68.95</v>
      </c>
      <c r="M232" s="77">
        <v>0</v>
      </c>
      <c r="N232" s="77">
        <v>1000000</v>
      </c>
    </row>
    <row r="233" spans="11:14">
      <c r="K233" s="77">
        <v>69.34</v>
      </c>
      <c r="L233" s="77">
        <v>69.33</v>
      </c>
      <c r="M233" s="77">
        <v>0</v>
      </c>
      <c r="N233" s="77">
        <v>1000001</v>
      </c>
    </row>
    <row r="234" spans="11:14">
      <c r="K234" s="77">
        <v>69.7</v>
      </c>
      <c r="L234" s="77">
        <v>69.69</v>
      </c>
      <c r="M234" s="77">
        <v>0</v>
      </c>
      <c r="N234" s="77">
        <v>1000010</v>
      </c>
    </row>
    <row r="235" spans="11:14">
      <c r="K235" s="77">
        <v>70.08</v>
      </c>
      <c r="L235" s="77">
        <v>70.069999999999993</v>
      </c>
      <c r="M235" s="77">
        <v>0</v>
      </c>
      <c r="N235" s="77">
        <v>1000011</v>
      </c>
    </row>
    <row r="236" spans="11:14">
      <c r="K236" s="77">
        <v>70.44</v>
      </c>
      <c r="L236" s="77">
        <v>70.430000000000007</v>
      </c>
      <c r="M236" s="77">
        <v>0</v>
      </c>
      <c r="N236" s="77">
        <v>1000100</v>
      </c>
    </row>
    <row r="237" spans="11:14">
      <c r="K237" s="77">
        <v>70.819999999999993</v>
      </c>
      <c r="L237" s="77">
        <v>70.81</v>
      </c>
      <c r="M237" s="77">
        <v>0</v>
      </c>
      <c r="N237" s="77">
        <v>1000101</v>
      </c>
    </row>
    <row r="238" spans="11:14">
      <c r="K238" s="77">
        <v>71.180000000000007</v>
      </c>
      <c r="L238" s="77">
        <v>71.17</v>
      </c>
      <c r="M238" s="77">
        <v>0</v>
      </c>
      <c r="N238" s="77">
        <v>1000110</v>
      </c>
    </row>
    <row r="239" spans="11:14">
      <c r="K239" s="77">
        <v>71.56</v>
      </c>
      <c r="L239" s="77">
        <v>71.55</v>
      </c>
      <c r="M239" s="77">
        <v>0</v>
      </c>
      <c r="N239" s="77">
        <v>1000111</v>
      </c>
    </row>
    <row r="240" spans="11:14">
      <c r="K240" s="77">
        <v>71.88</v>
      </c>
      <c r="L240" s="77">
        <v>71.87</v>
      </c>
      <c r="M240" s="77">
        <v>0</v>
      </c>
      <c r="N240" s="77">
        <v>1001000</v>
      </c>
    </row>
    <row r="241" spans="11:14">
      <c r="K241" s="77">
        <v>72.260000000000005</v>
      </c>
      <c r="L241" s="77">
        <v>72.25</v>
      </c>
      <c r="M241" s="77">
        <v>0</v>
      </c>
      <c r="N241" s="77">
        <v>1001001</v>
      </c>
    </row>
    <row r="242" spans="11:14">
      <c r="K242" s="77">
        <v>72.63</v>
      </c>
      <c r="L242" s="77">
        <v>72.62</v>
      </c>
      <c r="M242" s="77">
        <v>0</v>
      </c>
      <c r="N242" s="77">
        <v>1001010</v>
      </c>
    </row>
    <row r="243" spans="11:14">
      <c r="K243" s="77">
        <v>73</v>
      </c>
      <c r="L243" s="77">
        <v>73</v>
      </c>
      <c r="M243" s="77">
        <v>0</v>
      </c>
      <c r="N243" s="77">
        <v>1001011</v>
      </c>
    </row>
    <row r="244" spans="11:14">
      <c r="K244" s="77">
        <v>73.36</v>
      </c>
      <c r="L244" s="77">
        <v>73.36</v>
      </c>
      <c r="M244" s="77">
        <v>0</v>
      </c>
      <c r="N244" s="77">
        <v>1001100</v>
      </c>
    </row>
    <row r="245" spans="11:14">
      <c r="K245" s="77">
        <v>73.739999999999995</v>
      </c>
      <c r="L245" s="77">
        <v>73.73</v>
      </c>
      <c r="M245" s="77">
        <v>0</v>
      </c>
      <c r="N245" s="77">
        <v>1001101</v>
      </c>
    </row>
    <row r="246" spans="11:14">
      <c r="K246" s="77">
        <v>74.11</v>
      </c>
      <c r="L246" s="77">
        <v>74.099999999999994</v>
      </c>
      <c r="M246" s="77">
        <v>0</v>
      </c>
      <c r="N246" s="77">
        <v>1001110</v>
      </c>
    </row>
    <row r="247" spans="11:14">
      <c r="K247" s="77">
        <v>74.489999999999995</v>
      </c>
      <c r="L247" s="77">
        <v>74.48</v>
      </c>
      <c r="M247" s="77">
        <v>0</v>
      </c>
      <c r="N247" s="77">
        <v>1001111</v>
      </c>
    </row>
    <row r="248" spans="11:14">
      <c r="K248" s="77">
        <v>74.78</v>
      </c>
      <c r="L248" s="77">
        <v>74.77</v>
      </c>
      <c r="M248" s="77">
        <v>0</v>
      </c>
      <c r="N248" s="77">
        <v>1010000</v>
      </c>
    </row>
    <row r="249" spans="11:14">
      <c r="K249" s="77">
        <v>75.16</v>
      </c>
      <c r="L249" s="77">
        <v>75.150000000000006</v>
      </c>
      <c r="M249" s="77">
        <v>0</v>
      </c>
      <c r="N249" s="77">
        <v>1010001</v>
      </c>
    </row>
    <row r="250" spans="11:14">
      <c r="K250" s="77">
        <v>75.53</v>
      </c>
      <c r="L250" s="77">
        <v>75.52</v>
      </c>
      <c r="M250" s="77">
        <v>0</v>
      </c>
      <c r="N250" s="77">
        <v>1010010</v>
      </c>
    </row>
    <row r="251" spans="11:14">
      <c r="K251" s="77">
        <v>75.900000000000006</v>
      </c>
      <c r="L251" s="77">
        <v>75.89</v>
      </c>
      <c r="M251" s="77">
        <v>0</v>
      </c>
      <c r="N251" s="77">
        <v>1010011</v>
      </c>
    </row>
    <row r="252" spans="11:14">
      <c r="K252" s="77">
        <v>76.260000000000005</v>
      </c>
      <c r="L252" s="77">
        <v>76.25</v>
      </c>
      <c r="M252" s="77">
        <v>0</v>
      </c>
      <c r="N252" s="77">
        <v>1010100</v>
      </c>
    </row>
    <row r="253" spans="11:14">
      <c r="K253" s="77">
        <v>76.64</v>
      </c>
      <c r="L253" s="77">
        <v>76.63</v>
      </c>
      <c r="M253" s="77">
        <v>0</v>
      </c>
      <c r="N253" s="77">
        <v>1010101</v>
      </c>
    </row>
    <row r="254" spans="11:14">
      <c r="K254" s="77">
        <v>77.010000000000005</v>
      </c>
      <c r="L254" s="77">
        <v>77</v>
      </c>
      <c r="M254" s="77">
        <v>0</v>
      </c>
      <c r="N254" s="77">
        <v>1010110</v>
      </c>
    </row>
    <row r="255" spans="11:14">
      <c r="K255" s="77">
        <v>77.38</v>
      </c>
      <c r="L255" s="77">
        <v>77.38</v>
      </c>
      <c r="M255" s="77">
        <v>0</v>
      </c>
      <c r="N255" s="77">
        <v>1010111</v>
      </c>
    </row>
    <row r="256" spans="11:14">
      <c r="K256" s="77">
        <v>77.709999999999994</v>
      </c>
      <c r="L256" s="77">
        <v>77.7</v>
      </c>
      <c r="M256" s="77">
        <v>0</v>
      </c>
      <c r="N256" s="77">
        <v>1011000</v>
      </c>
    </row>
    <row r="257" spans="11:14">
      <c r="K257" s="77">
        <v>78.08</v>
      </c>
      <c r="L257" s="77">
        <v>78.08</v>
      </c>
      <c r="M257" s="77">
        <v>0</v>
      </c>
      <c r="N257" s="77">
        <v>1011001</v>
      </c>
    </row>
    <row r="258" spans="11:14">
      <c r="K258" s="77">
        <v>78.45</v>
      </c>
      <c r="L258" s="77">
        <v>78.44</v>
      </c>
      <c r="M258" s="77">
        <v>0</v>
      </c>
      <c r="N258" s="77">
        <v>1011010</v>
      </c>
    </row>
    <row r="259" spans="11:14">
      <c r="K259" s="77">
        <v>78.83</v>
      </c>
      <c r="L259" s="77">
        <v>78.819999999999993</v>
      </c>
      <c r="M259" s="77">
        <v>0</v>
      </c>
      <c r="N259" s="77">
        <v>1011011</v>
      </c>
    </row>
    <row r="260" spans="11:14">
      <c r="K260" s="77">
        <v>79.19</v>
      </c>
      <c r="L260" s="77">
        <v>79.180000000000007</v>
      </c>
      <c r="M260" s="77">
        <v>0</v>
      </c>
      <c r="N260" s="77">
        <v>1011100</v>
      </c>
    </row>
    <row r="261" spans="11:14">
      <c r="K261" s="77">
        <v>79.56</v>
      </c>
      <c r="L261" s="77">
        <v>79.56</v>
      </c>
      <c r="M261" s="77">
        <v>0</v>
      </c>
      <c r="N261" s="77">
        <v>1011101</v>
      </c>
    </row>
    <row r="262" spans="11:14">
      <c r="K262" s="77">
        <v>79.930000000000007</v>
      </c>
      <c r="L262" s="77">
        <v>79.930000000000007</v>
      </c>
      <c r="M262" s="77">
        <v>0</v>
      </c>
      <c r="N262" s="77">
        <v>1011110</v>
      </c>
    </row>
    <row r="263" spans="11:14">
      <c r="K263" s="77">
        <v>80.31</v>
      </c>
      <c r="L263" s="77">
        <v>80.3</v>
      </c>
      <c r="M263" s="77">
        <v>0</v>
      </c>
      <c r="N263" s="77">
        <v>1011111</v>
      </c>
    </row>
    <row r="264" spans="11:14">
      <c r="K264" s="77">
        <v>80.540000000000006</v>
      </c>
      <c r="L264" s="77">
        <v>80.53</v>
      </c>
      <c r="M264" s="77">
        <v>0</v>
      </c>
      <c r="N264" s="77">
        <v>1100000</v>
      </c>
    </row>
    <row r="265" spans="11:14">
      <c r="K265" s="77">
        <v>80.91</v>
      </c>
      <c r="L265" s="77">
        <v>80.91</v>
      </c>
      <c r="M265" s="77">
        <v>0</v>
      </c>
      <c r="N265" s="77">
        <v>1100001</v>
      </c>
    </row>
    <row r="266" spans="11:14">
      <c r="K266" s="77">
        <v>81.28</v>
      </c>
      <c r="L266" s="77">
        <v>81.27</v>
      </c>
      <c r="M266" s="77">
        <v>0</v>
      </c>
      <c r="N266" s="77">
        <v>1100010</v>
      </c>
    </row>
    <row r="267" spans="11:14">
      <c r="K267" s="77">
        <v>81.66</v>
      </c>
      <c r="L267" s="77">
        <v>81.650000000000006</v>
      </c>
      <c r="M267" s="77">
        <v>0</v>
      </c>
      <c r="N267" s="77">
        <v>1100011</v>
      </c>
    </row>
    <row r="268" spans="11:14">
      <c r="K268" s="77">
        <v>82.02</v>
      </c>
      <c r="L268" s="77">
        <v>82.01</v>
      </c>
      <c r="M268" s="77">
        <v>0</v>
      </c>
      <c r="N268" s="77">
        <v>1100100</v>
      </c>
    </row>
    <row r="269" spans="11:14">
      <c r="K269" s="77">
        <v>82.39</v>
      </c>
      <c r="L269" s="77">
        <v>82.39</v>
      </c>
      <c r="M269" s="77">
        <v>0</v>
      </c>
      <c r="N269" s="77">
        <v>1100101</v>
      </c>
    </row>
    <row r="270" spans="11:14">
      <c r="K270" s="77">
        <v>82.76</v>
      </c>
      <c r="L270" s="77">
        <v>82.75</v>
      </c>
      <c r="M270" s="77">
        <v>0</v>
      </c>
      <c r="N270" s="77">
        <v>1100110</v>
      </c>
    </row>
    <row r="271" spans="11:14">
      <c r="K271" s="77">
        <v>83.14</v>
      </c>
      <c r="L271" s="77">
        <v>83.13</v>
      </c>
      <c r="M271" s="77">
        <v>0</v>
      </c>
      <c r="N271" s="77">
        <v>1100111</v>
      </c>
    </row>
    <row r="272" spans="11:14">
      <c r="K272" s="77">
        <v>83.46</v>
      </c>
      <c r="L272" s="77">
        <v>83.45</v>
      </c>
      <c r="M272" s="77">
        <v>0</v>
      </c>
      <c r="N272" s="77">
        <v>1101000</v>
      </c>
    </row>
    <row r="273" spans="11:14">
      <c r="K273" s="77">
        <v>83.84</v>
      </c>
      <c r="L273" s="77">
        <v>83.83</v>
      </c>
      <c r="M273" s="77">
        <v>0</v>
      </c>
      <c r="N273" s="77">
        <v>1101001</v>
      </c>
    </row>
    <row r="274" spans="11:14">
      <c r="K274" s="77">
        <v>84.2</v>
      </c>
      <c r="L274" s="77">
        <v>84.2</v>
      </c>
      <c r="M274" s="77">
        <v>0</v>
      </c>
      <c r="N274" s="77">
        <v>1101010</v>
      </c>
    </row>
    <row r="275" spans="11:14">
      <c r="K275" s="77">
        <v>84.58</v>
      </c>
      <c r="L275" s="77">
        <v>84.58</v>
      </c>
      <c r="M275" s="77">
        <v>0</v>
      </c>
      <c r="N275" s="77">
        <v>1101011</v>
      </c>
    </row>
    <row r="276" spans="11:14">
      <c r="K276" s="77">
        <v>84.94</v>
      </c>
      <c r="L276" s="77">
        <v>84.94</v>
      </c>
      <c r="M276" s="77">
        <v>0</v>
      </c>
      <c r="N276" s="77">
        <v>1101100</v>
      </c>
    </row>
    <row r="277" spans="11:14">
      <c r="K277" s="77">
        <v>85.32</v>
      </c>
      <c r="L277" s="77">
        <v>85.31</v>
      </c>
      <c r="M277" s="77">
        <v>0</v>
      </c>
      <c r="N277" s="77">
        <v>1101101</v>
      </c>
    </row>
    <row r="278" spans="11:14">
      <c r="K278" s="77">
        <v>85.69</v>
      </c>
      <c r="L278" s="77">
        <v>85.68</v>
      </c>
      <c r="M278" s="77">
        <v>0</v>
      </c>
      <c r="N278" s="77">
        <v>1101110</v>
      </c>
    </row>
    <row r="279" spans="11:14">
      <c r="K279" s="77">
        <v>86.06</v>
      </c>
      <c r="L279" s="77">
        <v>86.06</v>
      </c>
      <c r="M279" s="77">
        <v>0</v>
      </c>
      <c r="N279" s="77">
        <v>1101111</v>
      </c>
    </row>
    <row r="280" spans="11:14">
      <c r="K280" s="77">
        <v>86.36</v>
      </c>
      <c r="L280" s="77">
        <v>86.35</v>
      </c>
      <c r="M280" s="77">
        <v>0</v>
      </c>
      <c r="N280" s="77">
        <v>1110000</v>
      </c>
    </row>
    <row r="281" spans="11:14">
      <c r="K281" s="77">
        <v>86.74</v>
      </c>
      <c r="L281" s="77">
        <v>86.73</v>
      </c>
      <c r="M281" s="77">
        <v>0</v>
      </c>
      <c r="N281" s="77">
        <v>1110001</v>
      </c>
    </row>
    <row r="282" spans="11:14">
      <c r="K282" s="77">
        <v>87.1</v>
      </c>
      <c r="L282" s="77">
        <v>87.1</v>
      </c>
      <c r="M282" s="77">
        <v>0</v>
      </c>
      <c r="N282" s="77">
        <v>1110010</v>
      </c>
    </row>
    <row r="283" spans="11:14">
      <c r="K283" s="77">
        <v>87.48</v>
      </c>
      <c r="L283" s="77">
        <v>87.48</v>
      </c>
      <c r="M283" s="77">
        <v>0</v>
      </c>
      <c r="N283" s="77">
        <v>1110011</v>
      </c>
    </row>
    <row r="284" spans="11:14">
      <c r="K284" s="77">
        <v>87.84</v>
      </c>
      <c r="L284" s="77">
        <v>87.84</v>
      </c>
      <c r="M284" s="77">
        <v>0</v>
      </c>
      <c r="N284" s="77">
        <v>1110100</v>
      </c>
    </row>
    <row r="285" spans="11:14">
      <c r="K285" s="77">
        <v>88.22</v>
      </c>
      <c r="L285" s="77">
        <v>88.21</v>
      </c>
      <c r="M285" s="77">
        <v>0</v>
      </c>
      <c r="N285" s="77">
        <v>1110101</v>
      </c>
    </row>
    <row r="286" spans="11:14">
      <c r="K286" s="77">
        <v>88.59</v>
      </c>
      <c r="L286" s="77">
        <v>88.58</v>
      </c>
      <c r="M286" s="77">
        <v>0</v>
      </c>
      <c r="N286" s="77">
        <v>1110110</v>
      </c>
    </row>
    <row r="287" spans="11:14">
      <c r="K287" s="77">
        <v>88.96</v>
      </c>
      <c r="L287" s="77">
        <v>88.96</v>
      </c>
      <c r="M287" s="77">
        <v>0</v>
      </c>
      <c r="N287" s="77">
        <v>1110111</v>
      </c>
    </row>
    <row r="288" spans="11:14">
      <c r="K288" s="77">
        <v>89.29</v>
      </c>
      <c r="L288" s="77">
        <v>89.28</v>
      </c>
      <c r="M288" s="77">
        <v>0</v>
      </c>
      <c r="N288" s="77">
        <v>1111000</v>
      </c>
    </row>
    <row r="289" spans="11:14">
      <c r="K289" s="77">
        <v>89.66</v>
      </c>
      <c r="L289" s="77">
        <v>89.66</v>
      </c>
      <c r="M289" s="77">
        <v>0</v>
      </c>
      <c r="N289" s="77">
        <v>1111001</v>
      </c>
    </row>
    <row r="290" spans="11:14">
      <c r="K290" s="77">
        <v>90.03</v>
      </c>
      <c r="L290" s="77">
        <v>90.02</v>
      </c>
      <c r="M290" s="77">
        <v>0</v>
      </c>
      <c r="N290" s="77">
        <v>1111010</v>
      </c>
    </row>
    <row r="291" spans="11:14">
      <c r="K291" s="77">
        <v>90.41</v>
      </c>
      <c r="L291" s="77">
        <v>90.4</v>
      </c>
      <c r="M291" s="77">
        <v>0</v>
      </c>
      <c r="N291" s="77">
        <v>1111011</v>
      </c>
    </row>
    <row r="292" spans="11:14">
      <c r="K292" s="77">
        <v>90.77</v>
      </c>
      <c r="L292" s="77">
        <v>90.76</v>
      </c>
      <c r="M292" s="77">
        <v>0</v>
      </c>
      <c r="N292" s="77">
        <v>1111100</v>
      </c>
    </row>
    <row r="293" spans="11:14">
      <c r="K293" s="77">
        <v>91.14</v>
      </c>
      <c r="L293" s="77">
        <v>91.14</v>
      </c>
      <c r="M293" s="77">
        <v>0</v>
      </c>
      <c r="N293" s="77">
        <v>1111101</v>
      </c>
    </row>
    <row r="294" spans="11:14">
      <c r="K294" s="77">
        <v>91.51</v>
      </c>
      <c r="L294" s="77">
        <v>91.51</v>
      </c>
      <c r="M294" s="77">
        <v>0</v>
      </c>
      <c r="N294" s="77">
        <v>1111110</v>
      </c>
    </row>
    <row r="295" spans="11:14">
      <c r="K295" s="77">
        <v>91.89</v>
      </c>
      <c r="L295" s="77">
        <v>91.89</v>
      </c>
      <c r="M295" s="77">
        <v>0</v>
      </c>
      <c r="N295" s="77">
        <v>1111111</v>
      </c>
    </row>
  </sheetData>
  <phoneticPr fontId="59" type="noConversion"/>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tabColor rgb="FF92D050"/>
  </sheetPr>
  <dimension ref="A1:AC1199"/>
  <sheetViews>
    <sheetView zoomScaleNormal="100" workbookViewId="0">
      <pane ySplit="11" topLeftCell="A12" activePane="bottomLeft" state="frozen"/>
      <selection pane="bottomLeft" activeCell="F890" sqref="F890"/>
    </sheetView>
  </sheetViews>
  <sheetFormatPr defaultRowHeight="12.75"/>
  <cols>
    <col min="1" max="1" width="3" style="237" customWidth="1"/>
    <col min="2" max="2" width="30.28515625" style="237" customWidth="1"/>
    <col min="3" max="3" width="21.140625" style="237" customWidth="1"/>
    <col min="4" max="4" width="29.7109375" style="237" customWidth="1"/>
    <col min="5" max="5" width="42.42578125" style="237" customWidth="1"/>
    <col min="6" max="6" width="27.140625" style="237" bestFit="1" customWidth="1"/>
    <col min="7" max="7" width="35.140625" style="237" customWidth="1"/>
    <col min="8" max="8" width="25.85546875" style="237" customWidth="1"/>
    <col min="9" max="9" width="31.42578125" style="237" customWidth="1"/>
    <col min="10" max="10" width="27.140625" style="237" customWidth="1"/>
    <col min="11" max="11" width="32.28515625" style="241" customWidth="1"/>
    <col min="12" max="12" width="27" style="237" bestFit="1" customWidth="1"/>
    <col min="13" max="13" width="24.5703125" style="237" bestFit="1" customWidth="1"/>
    <col min="14" max="14" width="26.5703125" style="237" customWidth="1"/>
    <col min="15" max="15" width="27.42578125" style="237" customWidth="1"/>
    <col min="16" max="16" width="17" style="237" customWidth="1"/>
    <col min="17" max="17" width="14.42578125" style="237" customWidth="1"/>
    <col min="18" max="18" width="14.140625" style="237" customWidth="1"/>
    <col min="19" max="19" width="9.140625" style="237" customWidth="1"/>
    <col min="20" max="20" width="9.85546875" style="237" customWidth="1"/>
    <col min="21" max="21" width="9.7109375" style="237" customWidth="1"/>
    <col min="22" max="22" width="10.7109375" style="237" customWidth="1"/>
    <col min="23" max="25" width="9.140625" style="237" customWidth="1"/>
    <col min="26" max="257" width="9.140625" style="237"/>
    <col min="258" max="258" width="22.7109375" style="237" customWidth="1"/>
    <col min="259" max="259" width="22.5703125" style="237" customWidth="1"/>
    <col min="260" max="260" width="18.5703125" style="237" customWidth="1"/>
    <col min="261" max="261" width="24.42578125" style="237" customWidth="1"/>
    <col min="262" max="262" width="21" style="237" customWidth="1"/>
    <col min="263" max="263" width="19" style="237" customWidth="1"/>
    <col min="264" max="264" width="21.28515625" style="237" customWidth="1"/>
    <col min="265" max="265" width="42.7109375" style="237" customWidth="1"/>
    <col min="266" max="266" width="16.7109375" style="237" customWidth="1"/>
    <col min="267" max="267" width="34" style="237" customWidth="1"/>
    <col min="268" max="275" width="0" style="237" hidden="1" customWidth="1"/>
    <col min="276" max="513" width="9.140625" style="237"/>
    <col min="514" max="514" width="22.7109375" style="237" customWidth="1"/>
    <col min="515" max="515" width="22.5703125" style="237" customWidth="1"/>
    <col min="516" max="516" width="18.5703125" style="237" customWidth="1"/>
    <col min="517" max="517" width="24.42578125" style="237" customWidth="1"/>
    <col min="518" max="518" width="21" style="237" customWidth="1"/>
    <col min="519" max="519" width="19" style="237" customWidth="1"/>
    <col min="520" max="520" width="21.28515625" style="237" customWidth="1"/>
    <col min="521" max="521" width="42.7109375" style="237" customWidth="1"/>
    <col min="522" max="522" width="16.7109375" style="237" customWidth="1"/>
    <col min="523" max="523" width="34" style="237" customWidth="1"/>
    <col min="524" max="531" width="0" style="237" hidden="1" customWidth="1"/>
    <col min="532" max="769" width="9.140625" style="237"/>
    <col min="770" max="770" width="22.7109375" style="237" customWidth="1"/>
    <col min="771" max="771" width="22.5703125" style="237" customWidth="1"/>
    <col min="772" max="772" width="18.5703125" style="237" customWidth="1"/>
    <col min="773" max="773" width="24.42578125" style="237" customWidth="1"/>
    <col min="774" max="774" width="21" style="237" customWidth="1"/>
    <col min="775" max="775" width="19" style="237" customWidth="1"/>
    <col min="776" max="776" width="21.28515625" style="237" customWidth="1"/>
    <col min="777" max="777" width="42.7109375" style="237" customWidth="1"/>
    <col min="778" max="778" width="16.7109375" style="237" customWidth="1"/>
    <col min="779" max="779" width="34" style="237" customWidth="1"/>
    <col min="780" max="787" width="0" style="237" hidden="1" customWidth="1"/>
    <col min="788" max="1025" width="9.140625" style="237"/>
    <col min="1026" max="1026" width="22.7109375" style="237" customWidth="1"/>
    <col min="1027" max="1027" width="22.5703125" style="237" customWidth="1"/>
    <col min="1028" max="1028" width="18.5703125" style="237" customWidth="1"/>
    <col min="1029" max="1029" width="24.42578125" style="237" customWidth="1"/>
    <col min="1030" max="1030" width="21" style="237" customWidth="1"/>
    <col min="1031" max="1031" width="19" style="237" customWidth="1"/>
    <col min="1032" max="1032" width="21.28515625" style="237" customWidth="1"/>
    <col min="1033" max="1033" width="42.7109375" style="237" customWidth="1"/>
    <col min="1034" max="1034" width="16.7109375" style="237" customWidth="1"/>
    <col min="1035" max="1035" width="34" style="237" customWidth="1"/>
    <col min="1036" max="1043" width="0" style="237" hidden="1" customWidth="1"/>
    <col min="1044" max="1281" width="9.140625" style="237"/>
    <col min="1282" max="1282" width="22.7109375" style="237" customWidth="1"/>
    <col min="1283" max="1283" width="22.5703125" style="237" customWidth="1"/>
    <col min="1284" max="1284" width="18.5703125" style="237" customWidth="1"/>
    <col min="1285" max="1285" width="24.42578125" style="237" customWidth="1"/>
    <col min="1286" max="1286" width="21" style="237" customWidth="1"/>
    <col min="1287" max="1287" width="19" style="237" customWidth="1"/>
    <col min="1288" max="1288" width="21.28515625" style="237" customWidth="1"/>
    <col min="1289" max="1289" width="42.7109375" style="237" customWidth="1"/>
    <col min="1290" max="1290" width="16.7109375" style="237" customWidth="1"/>
    <col min="1291" max="1291" width="34" style="237" customWidth="1"/>
    <col min="1292" max="1299" width="0" style="237" hidden="1" customWidth="1"/>
    <col min="1300" max="1537" width="9.140625" style="237"/>
    <col min="1538" max="1538" width="22.7109375" style="237" customWidth="1"/>
    <col min="1539" max="1539" width="22.5703125" style="237" customWidth="1"/>
    <col min="1540" max="1540" width="18.5703125" style="237" customWidth="1"/>
    <col min="1541" max="1541" width="24.42578125" style="237" customWidth="1"/>
    <col min="1542" max="1542" width="21" style="237" customWidth="1"/>
    <col min="1543" max="1543" width="19" style="237" customWidth="1"/>
    <col min="1544" max="1544" width="21.28515625" style="237" customWidth="1"/>
    <col min="1545" max="1545" width="42.7109375" style="237" customWidth="1"/>
    <col min="1546" max="1546" width="16.7109375" style="237" customWidth="1"/>
    <col min="1547" max="1547" width="34" style="237" customWidth="1"/>
    <col min="1548" max="1555" width="0" style="237" hidden="1" customWidth="1"/>
    <col min="1556" max="1793" width="9.140625" style="237"/>
    <col min="1794" max="1794" width="22.7109375" style="237" customWidth="1"/>
    <col min="1795" max="1795" width="22.5703125" style="237" customWidth="1"/>
    <col min="1796" max="1796" width="18.5703125" style="237" customWidth="1"/>
    <col min="1797" max="1797" width="24.42578125" style="237" customWidth="1"/>
    <col min="1798" max="1798" width="21" style="237" customWidth="1"/>
    <col min="1799" max="1799" width="19" style="237" customWidth="1"/>
    <col min="1800" max="1800" width="21.28515625" style="237" customWidth="1"/>
    <col min="1801" max="1801" width="42.7109375" style="237" customWidth="1"/>
    <col min="1802" max="1802" width="16.7109375" style="237" customWidth="1"/>
    <col min="1803" max="1803" width="34" style="237" customWidth="1"/>
    <col min="1804" max="1811" width="0" style="237" hidden="1" customWidth="1"/>
    <col min="1812" max="2049" width="9.140625" style="237"/>
    <col min="2050" max="2050" width="22.7109375" style="237" customWidth="1"/>
    <col min="2051" max="2051" width="22.5703125" style="237" customWidth="1"/>
    <col min="2052" max="2052" width="18.5703125" style="237" customWidth="1"/>
    <col min="2053" max="2053" width="24.42578125" style="237" customWidth="1"/>
    <col min="2054" max="2054" width="21" style="237" customWidth="1"/>
    <col min="2055" max="2055" width="19" style="237" customWidth="1"/>
    <col min="2056" max="2056" width="21.28515625" style="237" customWidth="1"/>
    <col min="2057" max="2057" width="42.7109375" style="237" customWidth="1"/>
    <col min="2058" max="2058" width="16.7109375" style="237" customWidth="1"/>
    <col min="2059" max="2059" width="34" style="237" customWidth="1"/>
    <col min="2060" max="2067" width="0" style="237" hidden="1" customWidth="1"/>
    <col min="2068" max="2305" width="9.140625" style="237"/>
    <col min="2306" max="2306" width="22.7109375" style="237" customWidth="1"/>
    <col min="2307" max="2307" width="22.5703125" style="237" customWidth="1"/>
    <col min="2308" max="2308" width="18.5703125" style="237" customWidth="1"/>
    <col min="2309" max="2309" width="24.42578125" style="237" customWidth="1"/>
    <col min="2310" max="2310" width="21" style="237" customWidth="1"/>
    <col min="2311" max="2311" width="19" style="237" customWidth="1"/>
    <col min="2312" max="2312" width="21.28515625" style="237" customWidth="1"/>
    <col min="2313" max="2313" width="42.7109375" style="237" customWidth="1"/>
    <col min="2314" max="2314" width="16.7109375" style="237" customWidth="1"/>
    <col min="2315" max="2315" width="34" style="237" customWidth="1"/>
    <col min="2316" max="2323" width="0" style="237" hidden="1" customWidth="1"/>
    <col min="2324" max="2561" width="9.140625" style="237"/>
    <col min="2562" max="2562" width="22.7109375" style="237" customWidth="1"/>
    <col min="2563" max="2563" width="22.5703125" style="237" customWidth="1"/>
    <col min="2564" max="2564" width="18.5703125" style="237" customWidth="1"/>
    <col min="2565" max="2565" width="24.42578125" style="237" customWidth="1"/>
    <col min="2566" max="2566" width="21" style="237" customWidth="1"/>
    <col min="2567" max="2567" width="19" style="237" customWidth="1"/>
    <col min="2568" max="2568" width="21.28515625" style="237" customWidth="1"/>
    <col min="2569" max="2569" width="42.7109375" style="237" customWidth="1"/>
    <col min="2570" max="2570" width="16.7109375" style="237" customWidth="1"/>
    <col min="2571" max="2571" width="34" style="237" customWidth="1"/>
    <col min="2572" max="2579" width="0" style="237" hidden="1" customWidth="1"/>
    <col min="2580" max="2817" width="9.140625" style="237"/>
    <col min="2818" max="2818" width="22.7109375" style="237" customWidth="1"/>
    <col min="2819" max="2819" width="22.5703125" style="237" customWidth="1"/>
    <col min="2820" max="2820" width="18.5703125" style="237" customWidth="1"/>
    <col min="2821" max="2821" width="24.42578125" style="237" customWidth="1"/>
    <col min="2822" max="2822" width="21" style="237" customWidth="1"/>
    <col min="2823" max="2823" width="19" style="237" customWidth="1"/>
    <col min="2824" max="2824" width="21.28515625" style="237" customWidth="1"/>
    <col min="2825" max="2825" width="42.7109375" style="237" customWidth="1"/>
    <col min="2826" max="2826" width="16.7109375" style="237" customWidth="1"/>
    <col min="2827" max="2827" width="34" style="237" customWidth="1"/>
    <col min="2828" max="2835" width="0" style="237" hidden="1" customWidth="1"/>
    <col min="2836" max="3073" width="9.140625" style="237"/>
    <col min="3074" max="3074" width="22.7109375" style="237" customWidth="1"/>
    <col min="3075" max="3075" width="22.5703125" style="237" customWidth="1"/>
    <col min="3076" max="3076" width="18.5703125" style="237" customWidth="1"/>
    <col min="3077" max="3077" width="24.42578125" style="237" customWidth="1"/>
    <col min="3078" max="3078" width="21" style="237" customWidth="1"/>
    <col min="3079" max="3079" width="19" style="237" customWidth="1"/>
    <col min="3080" max="3080" width="21.28515625" style="237" customWidth="1"/>
    <col min="3081" max="3081" width="42.7109375" style="237" customWidth="1"/>
    <col min="3082" max="3082" width="16.7109375" style="237" customWidth="1"/>
    <col min="3083" max="3083" width="34" style="237" customWidth="1"/>
    <col min="3084" max="3091" width="0" style="237" hidden="1" customWidth="1"/>
    <col min="3092" max="3329" width="9.140625" style="237"/>
    <col min="3330" max="3330" width="22.7109375" style="237" customWidth="1"/>
    <col min="3331" max="3331" width="22.5703125" style="237" customWidth="1"/>
    <col min="3332" max="3332" width="18.5703125" style="237" customWidth="1"/>
    <col min="3333" max="3333" width="24.42578125" style="237" customWidth="1"/>
    <col min="3334" max="3334" width="21" style="237" customWidth="1"/>
    <col min="3335" max="3335" width="19" style="237" customWidth="1"/>
    <col min="3336" max="3336" width="21.28515625" style="237" customWidth="1"/>
    <col min="3337" max="3337" width="42.7109375" style="237" customWidth="1"/>
    <col min="3338" max="3338" width="16.7109375" style="237" customWidth="1"/>
    <col min="3339" max="3339" width="34" style="237" customWidth="1"/>
    <col min="3340" max="3347" width="0" style="237" hidden="1" customWidth="1"/>
    <col min="3348" max="3585" width="9.140625" style="237"/>
    <col min="3586" max="3586" width="22.7109375" style="237" customWidth="1"/>
    <col min="3587" max="3587" width="22.5703125" style="237" customWidth="1"/>
    <col min="3588" max="3588" width="18.5703125" style="237" customWidth="1"/>
    <col min="3589" max="3589" width="24.42578125" style="237" customWidth="1"/>
    <col min="3590" max="3590" width="21" style="237" customWidth="1"/>
    <col min="3591" max="3591" width="19" style="237" customWidth="1"/>
    <col min="3592" max="3592" width="21.28515625" style="237" customWidth="1"/>
    <col min="3593" max="3593" width="42.7109375" style="237" customWidth="1"/>
    <col min="3594" max="3594" width="16.7109375" style="237" customWidth="1"/>
    <col min="3595" max="3595" width="34" style="237" customWidth="1"/>
    <col min="3596" max="3603" width="0" style="237" hidden="1" customWidth="1"/>
    <col min="3604" max="3841" width="9.140625" style="237"/>
    <col min="3842" max="3842" width="22.7109375" style="237" customWidth="1"/>
    <col min="3843" max="3843" width="22.5703125" style="237" customWidth="1"/>
    <col min="3844" max="3844" width="18.5703125" style="237" customWidth="1"/>
    <col min="3845" max="3845" width="24.42578125" style="237" customWidth="1"/>
    <col min="3846" max="3846" width="21" style="237" customWidth="1"/>
    <col min="3847" max="3847" width="19" style="237" customWidth="1"/>
    <col min="3848" max="3848" width="21.28515625" style="237" customWidth="1"/>
    <col min="3849" max="3849" width="42.7109375" style="237" customWidth="1"/>
    <col min="3850" max="3850" width="16.7109375" style="237" customWidth="1"/>
    <col min="3851" max="3851" width="34" style="237" customWidth="1"/>
    <col min="3852" max="3859" width="0" style="237" hidden="1" customWidth="1"/>
    <col min="3860" max="4097" width="9.140625" style="237"/>
    <col min="4098" max="4098" width="22.7109375" style="237" customWidth="1"/>
    <col min="4099" max="4099" width="22.5703125" style="237" customWidth="1"/>
    <col min="4100" max="4100" width="18.5703125" style="237" customWidth="1"/>
    <col min="4101" max="4101" width="24.42578125" style="237" customWidth="1"/>
    <col min="4102" max="4102" width="21" style="237" customWidth="1"/>
    <col min="4103" max="4103" width="19" style="237" customWidth="1"/>
    <col min="4104" max="4104" width="21.28515625" style="237" customWidth="1"/>
    <col min="4105" max="4105" width="42.7109375" style="237" customWidth="1"/>
    <col min="4106" max="4106" width="16.7109375" style="237" customWidth="1"/>
    <col min="4107" max="4107" width="34" style="237" customWidth="1"/>
    <col min="4108" max="4115" width="0" style="237" hidden="1" customWidth="1"/>
    <col min="4116" max="4353" width="9.140625" style="237"/>
    <col min="4354" max="4354" width="22.7109375" style="237" customWidth="1"/>
    <col min="4355" max="4355" width="22.5703125" style="237" customWidth="1"/>
    <col min="4356" max="4356" width="18.5703125" style="237" customWidth="1"/>
    <col min="4357" max="4357" width="24.42578125" style="237" customWidth="1"/>
    <col min="4358" max="4358" width="21" style="237" customWidth="1"/>
    <col min="4359" max="4359" width="19" style="237" customWidth="1"/>
    <col min="4360" max="4360" width="21.28515625" style="237" customWidth="1"/>
    <col min="4361" max="4361" width="42.7109375" style="237" customWidth="1"/>
    <col min="4362" max="4362" width="16.7109375" style="237" customWidth="1"/>
    <col min="4363" max="4363" width="34" style="237" customWidth="1"/>
    <col min="4364" max="4371" width="0" style="237" hidden="1" customWidth="1"/>
    <col min="4372" max="4609" width="9.140625" style="237"/>
    <col min="4610" max="4610" width="22.7109375" style="237" customWidth="1"/>
    <col min="4611" max="4611" width="22.5703125" style="237" customWidth="1"/>
    <col min="4612" max="4612" width="18.5703125" style="237" customWidth="1"/>
    <col min="4613" max="4613" width="24.42578125" style="237" customWidth="1"/>
    <col min="4614" max="4614" width="21" style="237" customWidth="1"/>
    <col min="4615" max="4615" width="19" style="237" customWidth="1"/>
    <col min="4616" max="4616" width="21.28515625" style="237" customWidth="1"/>
    <col min="4617" max="4617" width="42.7109375" style="237" customWidth="1"/>
    <col min="4618" max="4618" width="16.7109375" style="237" customWidth="1"/>
    <col min="4619" max="4619" width="34" style="237" customWidth="1"/>
    <col min="4620" max="4627" width="0" style="237" hidden="1" customWidth="1"/>
    <col min="4628" max="4865" width="9.140625" style="237"/>
    <col min="4866" max="4866" width="22.7109375" style="237" customWidth="1"/>
    <col min="4867" max="4867" width="22.5703125" style="237" customWidth="1"/>
    <col min="4868" max="4868" width="18.5703125" style="237" customWidth="1"/>
    <col min="4869" max="4869" width="24.42578125" style="237" customWidth="1"/>
    <col min="4870" max="4870" width="21" style="237" customWidth="1"/>
    <col min="4871" max="4871" width="19" style="237" customWidth="1"/>
    <col min="4872" max="4872" width="21.28515625" style="237" customWidth="1"/>
    <col min="4873" max="4873" width="42.7109375" style="237" customWidth="1"/>
    <col min="4874" max="4874" width="16.7109375" style="237" customWidth="1"/>
    <col min="4875" max="4875" width="34" style="237" customWidth="1"/>
    <col min="4876" max="4883" width="0" style="237" hidden="1" customWidth="1"/>
    <col min="4884" max="5121" width="9.140625" style="237"/>
    <col min="5122" max="5122" width="22.7109375" style="237" customWidth="1"/>
    <col min="5123" max="5123" width="22.5703125" style="237" customWidth="1"/>
    <col min="5124" max="5124" width="18.5703125" style="237" customWidth="1"/>
    <col min="5125" max="5125" width="24.42578125" style="237" customWidth="1"/>
    <col min="5126" max="5126" width="21" style="237" customWidth="1"/>
    <col min="5127" max="5127" width="19" style="237" customWidth="1"/>
    <col min="5128" max="5128" width="21.28515625" style="237" customWidth="1"/>
    <col min="5129" max="5129" width="42.7109375" style="237" customWidth="1"/>
    <col min="5130" max="5130" width="16.7109375" style="237" customWidth="1"/>
    <col min="5131" max="5131" width="34" style="237" customWidth="1"/>
    <col min="5132" max="5139" width="0" style="237" hidden="1" customWidth="1"/>
    <col min="5140" max="5377" width="9.140625" style="237"/>
    <col min="5378" max="5378" width="22.7109375" style="237" customWidth="1"/>
    <col min="5379" max="5379" width="22.5703125" style="237" customWidth="1"/>
    <col min="5380" max="5380" width="18.5703125" style="237" customWidth="1"/>
    <col min="5381" max="5381" width="24.42578125" style="237" customWidth="1"/>
    <col min="5382" max="5382" width="21" style="237" customWidth="1"/>
    <col min="5383" max="5383" width="19" style="237" customWidth="1"/>
    <col min="5384" max="5384" width="21.28515625" style="237" customWidth="1"/>
    <col min="5385" max="5385" width="42.7109375" style="237" customWidth="1"/>
    <col min="5386" max="5386" width="16.7109375" style="237" customWidth="1"/>
    <col min="5387" max="5387" width="34" style="237" customWidth="1"/>
    <col min="5388" max="5395" width="0" style="237" hidden="1" customWidth="1"/>
    <col min="5396" max="5633" width="9.140625" style="237"/>
    <col min="5634" max="5634" width="22.7109375" style="237" customWidth="1"/>
    <col min="5635" max="5635" width="22.5703125" style="237" customWidth="1"/>
    <col min="5636" max="5636" width="18.5703125" style="237" customWidth="1"/>
    <col min="5637" max="5637" width="24.42578125" style="237" customWidth="1"/>
    <col min="5638" max="5638" width="21" style="237" customWidth="1"/>
    <col min="5639" max="5639" width="19" style="237" customWidth="1"/>
    <col min="5640" max="5640" width="21.28515625" style="237" customWidth="1"/>
    <col min="5641" max="5641" width="42.7109375" style="237" customWidth="1"/>
    <col min="5642" max="5642" width="16.7109375" style="237" customWidth="1"/>
    <col min="5643" max="5643" width="34" style="237" customWidth="1"/>
    <col min="5644" max="5651" width="0" style="237" hidden="1" customWidth="1"/>
    <col min="5652" max="5889" width="9.140625" style="237"/>
    <col min="5890" max="5890" width="22.7109375" style="237" customWidth="1"/>
    <col min="5891" max="5891" width="22.5703125" style="237" customWidth="1"/>
    <col min="5892" max="5892" width="18.5703125" style="237" customWidth="1"/>
    <col min="5893" max="5893" width="24.42578125" style="237" customWidth="1"/>
    <col min="5894" max="5894" width="21" style="237" customWidth="1"/>
    <col min="5895" max="5895" width="19" style="237" customWidth="1"/>
    <col min="5896" max="5896" width="21.28515625" style="237" customWidth="1"/>
    <col min="5897" max="5897" width="42.7109375" style="237" customWidth="1"/>
    <col min="5898" max="5898" width="16.7109375" style="237" customWidth="1"/>
    <col min="5899" max="5899" width="34" style="237" customWidth="1"/>
    <col min="5900" max="5907" width="0" style="237" hidden="1" customWidth="1"/>
    <col min="5908" max="6145" width="9.140625" style="237"/>
    <col min="6146" max="6146" width="22.7109375" style="237" customWidth="1"/>
    <col min="6147" max="6147" width="22.5703125" style="237" customWidth="1"/>
    <col min="6148" max="6148" width="18.5703125" style="237" customWidth="1"/>
    <col min="6149" max="6149" width="24.42578125" style="237" customWidth="1"/>
    <col min="6150" max="6150" width="21" style="237" customWidth="1"/>
    <col min="6151" max="6151" width="19" style="237" customWidth="1"/>
    <col min="6152" max="6152" width="21.28515625" style="237" customWidth="1"/>
    <col min="6153" max="6153" width="42.7109375" style="237" customWidth="1"/>
    <col min="6154" max="6154" width="16.7109375" style="237" customWidth="1"/>
    <col min="6155" max="6155" width="34" style="237" customWidth="1"/>
    <col min="6156" max="6163" width="0" style="237" hidden="1" customWidth="1"/>
    <col min="6164" max="6401" width="9.140625" style="237"/>
    <col min="6402" max="6402" width="22.7109375" style="237" customWidth="1"/>
    <col min="6403" max="6403" width="22.5703125" style="237" customWidth="1"/>
    <col min="6404" max="6404" width="18.5703125" style="237" customWidth="1"/>
    <col min="6405" max="6405" width="24.42578125" style="237" customWidth="1"/>
    <col min="6406" max="6406" width="21" style="237" customWidth="1"/>
    <col min="6407" max="6407" width="19" style="237" customWidth="1"/>
    <col min="6408" max="6408" width="21.28515625" style="237" customWidth="1"/>
    <col min="6409" max="6409" width="42.7109375" style="237" customWidth="1"/>
    <col min="6410" max="6410" width="16.7109375" style="237" customWidth="1"/>
    <col min="6411" max="6411" width="34" style="237" customWidth="1"/>
    <col min="6412" max="6419" width="0" style="237" hidden="1" customWidth="1"/>
    <col min="6420" max="6657" width="9.140625" style="237"/>
    <col min="6658" max="6658" width="22.7109375" style="237" customWidth="1"/>
    <col min="6659" max="6659" width="22.5703125" style="237" customWidth="1"/>
    <col min="6660" max="6660" width="18.5703125" style="237" customWidth="1"/>
    <col min="6661" max="6661" width="24.42578125" style="237" customWidth="1"/>
    <col min="6662" max="6662" width="21" style="237" customWidth="1"/>
    <col min="6663" max="6663" width="19" style="237" customWidth="1"/>
    <col min="6664" max="6664" width="21.28515625" style="237" customWidth="1"/>
    <col min="6665" max="6665" width="42.7109375" style="237" customWidth="1"/>
    <col min="6666" max="6666" width="16.7109375" style="237" customWidth="1"/>
    <col min="6667" max="6667" width="34" style="237" customWidth="1"/>
    <col min="6668" max="6675" width="0" style="237" hidden="1" customWidth="1"/>
    <col min="6676" max="6913" width="9.140625" style="237"/>
    <col min="6914" max="6914" width="22.7109375" style="237" customWidth="1"/>
    <col min="6915" max="6915" width="22.5703125" style="237" customWidth="1"/>
    <col min="6916" max="6916" width="18.5703125" style="237" customWidth="1"/>
    <col min="6917" max="6917" width="24.42578125" style="237" customWidth="1"/>
    <col min="6918" max="6918" width="21" style="237" customWidth="1"/>
    <col min="6919" max="6919" width="19" style="237" customWidth="1"/>
    <col min="6920" max="6920" width="21.28515625" style="237" customWidth="1"/>
    <col min="6921" max="6921" width="42.7109375" style="237" customWidth="1"/>
    <col min="6922" max="6922" width="16.7109375" style="237" customWidth="1"/>
    <col min="6923" max="6923" width="34" style="237" customWidth="1"/>
    <col min="6924" max="6931" width="0" style="237" hidden="1" customWidth="1"/>
    <col min="6932" max="7169" width="9.140625" style="237"/>
    <col min="7170" max="7170" width="22.7109375" style="237" customWidth="1"/>
    <col min="7171" max="7171" width="22.5703125" style="237" customWidth="1"/>
    <col min="7172" max="7172" width="18.5703125" style="237" customWidth="1"/>
    <col min="7173" max="7173" width="24.42578125" style="237" customWidth="1"/>
    <col min="7174" max="7174" width="21" style="237" customWidth="1"/>
    <col min="7175" max="7175" width="19" style="237" customWidth="1"/>
    <col min="7176" max="7176" width="21.28515625" style="237" customWidth="1"/>
    <col min="7177" max="7177" width="42.7109375" style="237" customWidth="1"/>
    <col min="7178" max="7178" width="16.7109375" style="237" customWidth="1"/>
    <col min="7179" max="7179" width="34" style="237" customWidth="1"/>
    <col min="7180" max="7187" width="0" style="237" hidden="1" customWidth="1"/>
    <col min="7188" max="7425" width="9.140625" style="237"/>
    <col min="7426" max="7426" width="22.7109375" style="237" customWidth="1"/>
    <col min="7427" max="7427" width="22.5703125" style="237" customWidth="1"/>
    <col min="7428" max="7428" width="18.5703125" style="237" customWidth="1"/>
    <col min="7429" max="7429" width="24.42578125" style="237" customWidth="1"/>
    <col min="7430" max="7430" width="21" style="237" customWidth="1"/>
    <col min="7431" max="7431" width="19" style="237" customWidth="1"/>
    <col min="7432" max="7432" width="21.28515625" style="237" customWidth="1"/>
    <col min="7433" max="7433" width="42.7109375" style="237" customWidth="1"/>
    <col min="7434" max="7434" width="16.7109375" style="237" customWidth="1"/>
    <col min="7435" max="7435" width="34" style="237" customWidth="1"/>
    <col min="7436" max="7443" width="0" style="237" hidden="1" customWidth="1"/>
    <col min="7444" max="7681" width="9.140625" style="237"/>
    <col min="7682" max="7682" width="22.7109375" style="237" customWidth="1"/>
    <col min="7683" max="7683" width="22.5703125" style="237" customWidth="1"/>
    <col min="7684" max="7684" width="18.5703125" style="237" customWidth="1"/>
    <col min="7685" max="7685" width="24.42578125" style="237" customWidth="1"/>
    <col min="7686" max="7686" width="21" style="237" customWidth="1"/>
    <col min="7687" max="7687" width="19" style="237" customWidth="1"/>
    <col min="7688" max="7688" width="21.28515625" style="237" customWidth="1"/>
    <col min="7689" max="7689" width="42.7109375" style="237" customWidth="1"/>
    <col min="7690" max="7690" width="16.7109375" style="237" customWidth="1"/>
    <col min="7691" max="7691" width="34" style="237" customWidth="1"/>
    <col min="7692" max="7699" width="0" style="237" hidden="1" customWidth="1"/>
    <col min="7700" max="7937" width="9.140625" style="237"/>
    <col min="7938" max="7938" width="22.7109375" style="237" customWidth="1"/>
    <col min="7939" max="7939" width="22.5703125" style="237" customWidth="1"/>
    <col min="7940" max="7940" width="18.5703125" style="237" customWidth="1"/>
    <col min="7941" max="7941" width="24.42578125" style="237" customWidth="1"/>
    <col min="7942" max="7942" width="21" style="237" customWidth="1"/>
    <col min="7943" max="7943" width="19" style="237" customWidth="1"/>
    <col min="7944" max="7944" width="21.28515625" style="237" customWidth="1"/>
    <col min="7945" max="7945" width="42.7109375" style="237" customWidth="1"/>
    <col min="7946" max="7946" width="16.7109375" style="237" customWidth="1"/>
    <col min="7947" max="7947" width="34" style="237" customWidth="1"/>
    <col min="7948" max="7955" width="0" style="237" hidden="1" customWidth="1"/>
    <col min="7956" max="8193" width="9.140625" style="237"/>
    <col min="8194" max="8194" width="22.7109375" style="237" customWidth="1"/>
    <col min="8195" max="8195" width="22.5703125" style="237" customWidth="1"/>
    <col min="8196" max="8196" width="18.5703125" style="237" customWidth="1"/>
    <col min="8197" max="8197" width="24.42578125" style="237" customWidth="1"/>
    <col min="8198" max="8198" width="21" style="237" customWidth="1"/>
    <col min="8199" max="8199" width="19" style="237" customWidth="1"/>
    <col min="8200" max="8200" width="21.28515625" style="237" customWidth="1"/>
    <col min="8201" max="8201" width="42.7109375" style="237" customWidth="1"/>
    <col min="8202" max="8202" width="16.7109375" style="237" customWidth="1"/>
    <col min="8203" max="8203" width="34" style="237" customWidth="1"/>
    <col min="8204" max="8211" width="0" style="237" hidden="1" customWidth="1"/>
    <col min="8212" max="8449" width="9.140625" style="237"/>
    <col min="8450" max="8450" width="22.7109375" style="237" customWidth="1"/>
    <col min="8451" max="8451" width="22.5703125" style="237" customWidth="1"/>
    <col min="8452" max="8452" width="18.5703125" style="237" customWidth="1"/>
    <col min="8453" max="8453" width="24.42578125" style="237" customWidth="1"/>
    <col min="8454" max="8454" width="21" style="237" customWidth="1"/>
    <col min="8455" max="8455" width="19" style="237" customWidth="1"/>
    <col min="8456" max="8456" width="21.28515625" style="237" customWidth="1"/>
    <col min="8457" max="8457" width="42.7109375" style="237" customWidth="1"/>
    <col min="8458" max="8458" width="16.7109375" style="237" customWidth="1"/>
    <col min="8459" max="8459" width="34" style="237" customWidth="1"/>
    <col min="8460" max="8467" width="0" style="237" hidden="1" customWidth="1"/>
    <col min="8468" max="8705" width="9.140625" style="237"/>
    <col min="8706" max="8706" width="22.7109375" style="237" customWidth="1"/>
    <col min="8707" max="8707" width="22.5703125" style="237" customWidth="1"/>
    <col min="8708" max="8708" width="18.5703125" style="237" customWidth="1"/>
    <col min="8709" max="8709" width="24.42578125" style="237" customWidth="1"/>
    <col min="8710" max="8710" width="21" style="237" customWidth="1"/>
    <col min="8711" max="8711" width="19" style="237" customWidth="1"/>
    <col min="8712" max="8712" width="21.28515625" style="237" customWidth="1"/>
    <col min="8713" max="8713" width="42.7109375" style="237" customWidth="1"/>
    <col min="8714" max="8714" width="16.7109375" style="237" customWidth="1"/>
    <col min="8715" max="8715" width="34" style="237" customWidth="1"/>
    <col min="8716" max="8723" width="0" style="237" hidden="1" customWidth="1"/>
    <col min="8724" max="8961" width="9.140625" style="237"/>
    <col min="8962" max="8962" width="22.7109375" style="237" customWidth="1"/>
    <col min="8963" max="8963" width="22.5703125" style="237" customWidth="1"/>
    <col min="8964" max="8964" width="18.5703125" style="237" customWidth="1"/>
    <col min="8965" max="8965" width="24.42578125" style="237" customWidth="1"/>
    <col min="8966" max="8966" width="21" style="237" customWidth="1"/>
    <col min="8967" max="8967" width="19" style="237" customWidth="1"/>
    <col min="8968" max="8968" width="21.28515625" style="237" customWidth="1"/>
    <col min="8969" max="8969" width="42.7109375" style="237" customWidth="1"/>
    <col min="8970" max="8970" width="16.7109375" style="237" customWidth="1"/>
    <col min="8971" max="8971" width="34" style="237" customWidth="1"/>
    <col min="8972" max="8979" width="0" style="237" hidden="1" customWidth="1"/>
    <col min="8980" max="9217" width="9.140625" style="237"/>
    <col min="9218" max="9218" width="22.7109375" style="237" customWidth="1"/>
    <col min="9219" max="9219" width="22.5703125" style="237" customWidth="1"/>
    <col min="9220" max="9220" width="18.5703125" style="237" customWidth="1"/>
    <col min="9221" max="9221" width="24.42578125" style="237" customWidth="1"/>
    <col min="9222" max="9222" width="21" style="237" customWidth="1"/>
    <col min="9223" max="9223" width="19" style="237" customWidth="1"/>
    <col min="9224" max="9224" width="21.28515625" style="237" customWidth="1"/>
    <col min="9225" max="9225" width="42.7109375" style="237" customWidth="1"/>
    <col min="9226" max="9226" width="16.7109375" style="237" customWidth="1"/>
    <col min="9227" max="9227" width="34" style="237" customWidth="1"/>
    <col min="9228" max="9235" width="0" style="237" hidden="1" customWidth="1"/>
    <col min="9236" max="9473" width="9.140625" style="237"/>
    <col min="9474" max="9474" width="22.7109375" style="237" customWidth="1"/>
    <col min="9475" max="9475" width="22.5703125" style="237" customWidth="1"/>
    <col min="9476" max="9476" width="18.5703125" style="237" customWidth="1"/>
    <col min="9477" max="9477" width="24.42578125" style="237" customWidth="1"/>
    <col min="9478" max="9478" width="21" style="237" customWidth="1"/>
    <col min="9479" max="9479" width="19" style="237" customWidth="1"/>
    <col min="9480" max="9480" width="21.28515625" style="237" customWidth="1"/>
    <col min="9481" max="9481" width="42.7109375" style="237" customWidth="1"/>
    <col min="9482" max="9482" width="16.7109375" style="237" customWidth="1"/>
    <col min="9483" max="9483" width="34" style="237" customWidth="1"/>
    <col min="9484" max="9491" width="0" style="237" hidden="1" customWidth="1"/>
    <col min="9492" max="9729" width="9.140625" style="237"/>
    <col min="9730" max="9730" width="22.7109375" style="237" customWidth="1"/>
    <col min="9731" max="9731" width="22.5703125" style="237" customWidth="1"/>
    <col min="9732" max="9732" width="18.5703125" style="237" customWidth="1"/>
    <col min="9733" max="9733" width="24.42578125" style="237" customWidth="1"/>
    <col min="9734" max="9734" width="21" style="237" customWidth="1"/>
    <col min="9735" max="9735" width="19" style="237" customWidth="1"/>
    <col min="9736" max="9736" width="21.28515625" style="237" customWidth="1"/>
    <col min="9737" max="9737" width="42.7109375" style="237" customWidth="1"/>
    <col min="9738" max="9738" width="16.7109375" style="237" customWidth="1"/>
    <col min="9739" max="9739" width="34" style="237" customWidth="1"/>
    <col min="9740" max="9747" width="0" style="237" hidden="1" customWidth="1"/>
    <col min="9748" max="9985" width="9.140625" style="237"/>
    <col min="9986" max="9986" width="22.7109375" style="237" customWidth="1"/>
    <col min="9987" max="9987" width="22.5703125" style="237" customWidth="1"/>
    <col min="9988" max="9988" width="18.5703125" style="237" customWidth="1"/>
    <col min="9989" max="9989" width="24.42578125" style="237" customWidth="1"/>
    <col min="9990" max="9990" width="21" style="237" customWidth="1"/>
    <col min="9991" max="9991" width="19" style="237" customWidth="1"/>
    <col min="9992" max="9992" width="21.28515625" style="237" customWidth="1"/>
    <col min="9993" max="9993" width="42.7109375" style="237" customWidth="1"/>
    <col min="9994" max="9994" width="16.7109375" style="237" customWidth="1"/>
    <col min="9995" max="9995" width="34" style="237" customWidth="1"/>
    <col min="9996" max="10003" width="0" style="237" hidden="1" customWidth="1"/>
    <col min="10004" max="10241" width="9.140625" style="237"/>
    <col min="10242" max="10242" width="22.7109375" style="237" customWidth="1"/>
    <col min="10243" max="10243" width="22.5703125" style="237" customWidth="1"/>
    <col min="10244" max="10244" width="18.5703125" style="237" customWidth="1"/>
    <col min="10245" max="10245" width="24.42578125" style="237" customWidth="1"/>
    <col min="10246" max="10246" width="21" style="237" customWidth="1"/>
    <col min="10247" max="10247" width="19" style="237" customWidth="1"/>
    <col min="10248" max="10248" width="21.28515625" style="237" customWidth="1"/>
    <col min="10249" max="10249" width="42.7109375" style="237" customWidth="1"/>
    <col min="10250" max="10250" width="16.7109375" style="237" customWidth="1"/>
    <col min="10251" max="10251" width="34" style="237" customWidth="1"/>
    <col min="10252" max="10259" width="0" style="237" hidden="1" customWidth="1"/>
    <col min="10260" max="10497" width="9.140625" style="237"/>
    <col min="10498" max="10498" width="22.7109375" style="237" customWidth="1"/>
    <col min="10499" max="10499" width="22.5703125" style="237" customWidth="1"/>
    <col min="10500" max="10500" width="18.5703125" style="237" customWidth="1"/>
    <col min="10501" max="10501" width="24.42578125" style="237" customWidth="1"/>
    <col min="10502" max="10502" width="21" style="237" customWidth="1"/>
    <col min="10503" max="10503" width="19" style="237" customWidth="1"/>
    <col min="10504" max="10504" width="21.28515625" style="237" customWidth="1"/>
    <col min="10505" max="10505" width="42.7109375" style="237" customWidth="1"/>
    <col min="10506" max="10506" width="16.7109375" style="237" customWidth="1"/>
    <col min="10507" max="10507" width="34" style="237" customWidth="1"/>
    <col min="10508" max="10515" width="0" style="237" hidden="1" customWidth="1"/>
    <col min="10516" max="10753" width="9.140625" style="237"/>
    <col min="10754" max="10754" width="22.7109375" style="237" customWidth="1"/>
    <col min="10755" max="10755" width="22.5703125" style="237" customWidth="1"/>
    <col min="10756" max="10756" width="18.5703125" style="237" customWidth="1"/>
    <col min="10757" max="10757" width="24.42578125" style="237" customWidth="1"/>
    <col min="10758" max="10758" width="21" style="237" customWidth="1"/>
    <col min="10759" max="10759" width="19" style="237" customWidth="1"/>
    <col min="10760" max="10760" width="21.28515625" style="237" customWidth="1"/>
    <col min="10761" max="10761" width="42.7109375" style="237" customWidth="1"/>
    <col min="10762" max="10762" width="16.7109375" style="237" customWidth="1"/>
    <col min="10763" max="10763" width="34" style="237" customWidth="1"/>
    <col min="10764" max="10771" width="0" style="237" hidden="1" customWidth="1"/>
    <col min="10772" max="11009" width="9.140625" style="237"/>
    <col min="11010" max="11010" width="22.7109375" style="237" customWidth="1"/>
    <col min="11011" max="11011" width="22.5703125" style="237" customWidth="1"/>
    <col min="11012" max="11012" width="18.5703125" style="237" customWidth="1"/>
    <col min="11013" max="11013" width="24.42578125" style="237" customWidth="1"/>
    <col min="11014" max="11014" width="21" style="237" customWidth="1"/>
    <col min="11015" max="11015" width="19" style="237" customWidth="1"/>
    <col min="11016" max="11016" width="21.28515625" style="237" customWidth="1"/>
    <col min="11017" max="11017" width="42.7109375" style="237" customWidth="1"/>
    <col min="11018" max="11018" width="16.7109375" style="237" customWidth="1"/>
    <col min="11019" max="11019" width="34" style="237" customWidth="1"/>
    <col min="11020" max="11027" width="0" style="237" hidden="1" customWidth="1"/>
    <col min="11028" max="11265" width="9.140625" style="237"/>
    <col min="11266" max="11266" width="22.7109375" style="237" customWidth="1"/>
    <col min="11267" max="11267" width="22.5703125" style="237" customWidth="1"/>
    <col min="11268" max="11268" width="18.5703125" style="237" customWidth="1"/>
    <col min="11269" max="11269" width="24.42578125" style="237" customWidth="1"/>
    <col min="11270" max="11270" width="21" style="237" customWidth="1"/>
    <col min="11271" max="11271" width="19" style="237" customWidth="1"/>
    <col min="11272" max="11272" width="21.28515625" style="237" customWidth="1"/>
    <col min="11273" max="11273" width="42.7109375" style="237" customWidth="1"/>
    <col min="11274" max="11274" width="16.7109375" style="237" customWidth="1"/>
    <col min="11275" max="11275" width="34" style="237" customWidth="1"/>
    <col min="11276" max="11283" width="0" style="237" hidden="1" customWidth="1"/>
    <col min="11284" max="11521" width="9.140625" style="237"/>
    <col min="11522" max="11522" width="22.7109375" style="237" customWidth="1"/>
    <col min="11523" max="11523" width="22.5703125" style="237" customWidth="1"/>
    <col min="11524" max="11524" width="18.5703125" style="237" customWidth="1"/>
    <col min="11525" max="11525" width="24.42578125" style="237" customWidth="1"/>
    <col min="11526" max="11526" width="21" style="237" customWidth="1"/>
    <col min="11527" max="11527" width="19" style="237" customWidth="1"/>
    <col min="11528" max="11528" width="21.28515625" style="237" customWidth="1"/>
    <col min="11529" max="11529" width="42.7109375" style="237" customWidth="1"/>
    <col min="11530" max="11530" width="16.7109375" style="237" customWidth="1"/>
    <col min="11531" max="11531" width="34" style="237" customWidth="1"/>
    <col min="11532" max="11539" width="0" style="237" hidden="1" customWidth="1"/>
    <col min="11540" max="11777" width="9.140625" style="237"/>
    <col min="11778" max="11778" width="22.7109375" style="237" customWidth="1"/>
    <col min="11779" max="11779" width="22.5703125" style="237" customWidth="1"/>
    <col min="11780" max="11780" width="18.5703125" style="237" customWidth="1"/>
    <col min="11781" max="11781" width="24.42578125" style="237" customWidth="1"/>
    <col min="11782" max="11782" width="21" style="237" customWidth="1"/>
    <col min="11783" max="11783" width="19" style="237" customWidth="1"/>
    <col min="11784" max="11784" width="21.28515625" style="237" customWidth="1"/>
    <col min="11785" max="11785" width="42.7109375" style="237" customWidth="1"/>
    <col min="11786" max="11786" width="16.7109375" style="237" customWidth="1"/>
    <col min="11787" max="11787" width="34" style="237" customWidth="1"/>
    <col min="11788" max="11795" width="0" style="237" hidden="1" customWidth="1"/>
    <col min="11796" max="12033" width="9.140625" style="237"/>
    <col min="12034" max="12034" width="22.7109375" style="237" customWidth="1"/>
    <col min="12035" max="12035" width="22.5703125" style="237" customWidth="1"/>
    <col min="12036" max="12036" width="18.5703125" style="237" customWidth="1"/>
    <col min="12037" max="12037" width="24.42578125" style="237" customWidth="1"/>
    <col min="12038" max="12038" width="21" style="237" customWidth="1"/>
    <col min="12039" max="12039" width="19" style="237" customWidth="1"/>
    <col min="12040" max="12040" width="21.28515625" style="237" customWidth="1"/>
    <col min="12041" max="12041" width="42.7109375" style="237" customWidth="1"/>
    <col min="12042" max="12042" width="16.7109375" style="237" customWidth="1"/>
    <col min="12043" max="12043" width="34" style="237" customWidth="1"/>
    <col min="12044" max="12051" width="0" style="237" hidden="1" customWidth="1"/>
    <col min="12052" max="12289" width="9.140625" style="237"/>
    <col min="12290" max="12290" width="22.7109375" style="237" customWidth="1"/>
    <col min="12291" max="12291" width="22.5703125" style="237" customWidth="1"/>
    <col min="12292" max="12292" width="18.5703125" style="237" customWidth="1"/>
    <col min="12293" max="12293" width="24.42578125" style="237" customWidth="1"/>
    <col min="12294" max="12294" width="21" style="237" customWidth="1"/>
    <col min="12295" max="12295" width="19" style="237" customWidth="1"/>
    <col min="12296" max="12296" width="21.28515625" style="237" customWidth="1"/>
    <col min="12297" max="12297" width="42.7109375" style="237" customWidth="1"/>
    <col min="12298" max="12298" width="16.7109375" style="237" customWidth="1"/>
    <col min="12299" max="12299" width="34" style="237" customWidth="1"/>
    <col min="12300" max="12307" width="0" style="237" hidden="1" customWidth="1"/>
    <col min="12308" max="12545" width="9.140625" style="237"/>
    <col min="12546" max="12546" width="22.7109375" style="237" customWidth="1"/>
    <col min="12547" max="12547" width="22.5703125" style="237" customWidth="1"/>
    <col min="12548" max="12548" width="18.5703125" style="237" customWidth="1"/>
    <col min="12549" max="12549" width="24.42578125" style="237" customWidth="1"/>
    <col min="12550" max="12550" width="21" style="237" customWidth="1"/>
    <col min="12551" max="12551" width="19" style="237" customWidth="1"/>
    <col min="12552" max="12552" width="21.28515625" style="237" customWidth="1"/>
    <col min="12553" max="12553" width="42.7109375" style="237" customWidth="1"/>
    <col min="12554" max="12554" width="16.7109375" style="237" customWidth="1"/>
    <col min="12555" max="12555" width="34" style="237" customWidth="1"/>
    <col min="12556" max="12563" width="0" style="237" hidden="1" customWidth="1"/>
    <col min="12564" max="12801" width="9.140625" style="237"/>
    <col min="12802" max="12802" width="22.7109375" style="237" customWidth="1"/>
    <col min="12803" max="12803" width="22.5703125" style="237" customWidth="1"/>
    <col min="12804" max="12804" width="18.5703125" style="237" customWidth="1"/>
    <col min="12805" max="12805" width="24.42578125" style="237" customWidth="1"/>
    <col min="12806" max="12806" width="21" style="237" customWidth="1"/>
    <col min="12807" max="12807" width="19" style="237" customWidth="1"/>
    <col min="12808" max="12808" width="21.28515625" style="237" customWidth="1"/>
    <col min="12809" max="12809" width="42.7109375" style="237" customWidth="1"/>
    <col min="12810" max="12810" width="16.7109375" style="237" customWidth="1"/>
    <col min="12811" max="12811" width="34" style="237" customWidth="1"/>
    <col min="12812" max="12819" width="0" style="237" hidden="1" customWidth="1"/>
    <col min="12820" max="13057" width="9.140625" style="237"/>
    <col min="13058" max="13058" width="22.7109375" style="237" customWidth="1"/>
    <col min="13059" max="13059" width="22.5703125" style="237" customWidth="1"/>
    <col min="13060" max="13060" width="18.5703125" style="237" customWidth="1"/>
    <col min="13061" max="13061" width="24.42578125" style="237" customWidth="1"/>
    <col min="13062" max="13062" width="21" style="237" customWidth="1"/>
    <col min="13063" max="13063" width="19" style="237" customWidth="1"/>
    <col min="13064" max="13064" width="21.28515625" style="237" customWidth="1"/>
    <col min="13065" max="13065" width="42.7109375" style="237" customWidth="1"/>
    <col min="13066" max="13066" width="16.7109375" style="237" customWidth="1"/>
    <col min="13067" max="13067" width="34" style="237" customWidth="1"/>
    <col min="13068" max="13075" width="0" style="237" hidden="1" customWidth="1"/>
    <col min="13076" max="13313" width="9.140625" style="237"/>
    <col min="13314" max="13314" width="22.7109375" style="237" customWidth="1"/>
    <col min="13315" max="13315" width="22.5703125" style="237" customWidth="1"/>
    <col min="13316" max="13316" width="18.5703125" style="237" customWidth="1"/>
    <col min="13317" max="13317" width="24.42578125" style="237" customWidth="1"/>
    <col min="13318" max="13318" width="21" style="237" customWidth="1"/>
    <col min="13319" max="13319" width="19" style="237" customWidth="1"/>
    <col min="13320" max="13320" width="21.28515625" style="237" customWidth="1"/>
    <col min="13321" max="13321" width="42.7109375" style="237" customWidth="1"/>
    <col min="13322" max="13322" width="16.7109375" style="237" customWidth="1"/>
    <col min="13323" max="13323" width="34" style="237" customWidth="1"/>
    <col min="13324" max="13331" width="0" style="237" hidden="1" customWidth="1"/>
    <col min="13332" max="13569" width="9.140625" style="237"/>
    <col min="13570" max="13570" width="22.7109375" style="237" customWidth="1"/>
    <col min="13571" max="13571" width="22.5703125" style="237" customWidth="1"/>
    <col min="13572" max="13572" width="18.5703125" style="237" customWidth="1"/>
    <col min="13573" max="13573" width="24.42578125" style="237" customWidth="1"/>
    <col min="13574" max="13574" width="21" style="237" customWidth="1"/>
    <col min="13575" max="13575" width="19" style="237" customWidth="1"/>
    <col min="13576" max="13576" width="21.28515625" style="237" customWidth="1"/>
    <col min="13577" max="13577" width="42.7109375" style="237" customWidth="1"/>
    <col min="13578" max="13578" width="16.7109375" style="237" customWidth="1"/>
    <col min="13579" max="13579" width="34" style="237" customWidth="1"/>
    <col min="13580" max="13587" width="0" style="237" hidden="1" customWidth="1"/>
    <col min="13588" max="13825" width="9.140625" style="237"/>
    <col min="13826" max="13826" width="22.7109375" style="237" customWidth="1"/>
    <col min="13827" max="13827" width="22.5703125" style="237" customWidth="1"/>
    <col min="13828" max="13828" width="18.5703125" style="237" customWidth="1"/>
    <col min="13829" max="13829" width="24.42578125" style="237" customWidth="1"/>
    <col min="13830" max="13830" width="21" style="237" customWidth="1"/>
    <col min="13831" max="13831" width="19" style="237" customWidth="1"/>
    <col min="13832" max="13832" width="21.28515625" style="237" customWidth="1"/>
    <col min="13833" max="13833" width="42.7109375" style="237" customWidth="1"/>
    <col min="13834" max="13834" width="16.7109375" style="237" customWidth="1"/>
    <col min="13835" max="13835" width="34" style="237" customWidth="1"/>
    <col min="13836" max="13843" width="0" style="237" hidden="1" customWidth="1"/>
    <col min="13844" max="14081" width="9.140625" style="237"/>
    <col min="14082" max="14082" width="22.7109375" style="237" customWidth="1"/>
    <col min="14083" max="14083" width="22.5703125" style="237" customWidth="1"/>
    <col min="14084" max="14084" width="18.5703125" style="237" customWidth="1"/>
    <col min="14085" max="14085" width="24.42578125" style="237" customWidth="1"/>
    <col min="14086" max="14086" width="21" style="237" customWidth="1"/>
    <col min="14087" max="14087" width="19" style="237" customWidth="1"/>
    <col min="14088" max="14088" width="21.28515625" style="237" customWidth="1"/>
    <col min="14089" max="14089" width="42.7109375" style="237" customWidth="1"/>
    <col min="14090" max="14090" width="16.7109375" style="237" customWidth="1"/>
    <col min="14091" max="14091" width="34" style="237" customWidth="1"/>
    <col min="14092" max="14099" width="0" style="237" hidden="1" customWidth="1"/>
    <col min="14100" max="14337" width="9.140625" style="237"/>
    <col min="14338" max="14338" width="22.7109375" style="237" customWidth="1"/>
    <col min="14339" max="14339" width="22.5703125" style="237" customWidth="1"/>
    <col min="14340" max="14340" width="18.5703125" style="237" customWidth="1"/>
    <col min="14341" max="14341" width="24.42578125" style="237" customWidth="1"/>
    <col min="14342" max="14342" width="21" style="237" customWidth="1"/>
    <col min="14343" max="14343" width="19" style="237" customWidth="1"/>
    <col min="14344" max="14344" width="21.28515625" style="237" customWidth="1"/>
    <col min="14345" max="14345" width="42.7109375" style="237" customWidth="1"/>
    <col min="14346" max="14346" width="16.7109375" style="237" customWidth="1"/>
    <col min="14347" max="14347" width="34" style="237" customWidth="1"/>
    <col min="14348" max="14355" width="0" style="237" hidden="1" customWidth="1"/>
    <col min="14356" max="14593" width="9.140625" style="237"/>
    <col min="14594" max="14594" width="22.7109375" style="237" customWidth="1"/>
    <col min="14595" max="14595" width="22.5703125" style="237" customWidth="1"/>
    <col min="14596" max="14596" width="18.5703125" style="237" customWidth="1"/>
    <col min="14597" max="14597" width="24.42578125" style="237" customWidth="1"/>
    <col min="14598" max="14598" width="21" style="237" customWidth="1"/>
    <col min="14599" max="14599" width="19" style="237" customWidth="1"/>
    <col min="14600" max="14600" width="21.28515625" style="237" customWidth="1"/>
    <col min="14601" max="14601" width="42.7109375" style="237" customWidth="1"/>
    <col min="14602" max="14602" width="16.7109375" style="237" customWidth="1"/>
    <col min="14603" max="14603" width="34" style="237" customWidth="1"/>
    <col min="14604" max="14611" width="0" style="237" hidden="1" customWidth="1"/>
    <col min="14612" max="14849" width="9.140625" style="237"/>
    <col min="14850" max="14850" width="22.7109375" style="237" customWidth="1"/>
    <col min="14851" max="14851" width="22.5703125" style="237" customWidth="1"/>
    <col min="14852" max="14852" width="18.5703125" style="237" customWidth="1"/>
    <col min="14853" max="14853" width="24.42578125" style="237" customWidth="1"/>
    <col min="14854" max="14854" width="21" style="237" customWidth="1"/>
    <col min="14855" max="14855" width="19" style="237" customWidth="1"/>
    <col min="14856" max="14856" width="21.28515625" style="237" customWidth="1"/>
    <col min="14857" max="14857" width="42.7109375" style="237" customWidth="1"/>
    <col min="14858" max="14858" width="16.7109375" style="237" customWidth="1"/>
    <col min="14859" max="14859" width="34" style="237" customWidth="1"/>
    <col min="14860" max="14867" width="0" style="237" hidden="1" customWidth="1"/>
    <col min="14868" max="15105" width="9.140625" style="237"/>
    <col min="15106" max="15106" width="22.7109375" style="237" customWidth="1"/>
    <col min="15107" max="15107" width="22.5703125" style="237" customWidth="1"/>
    <col min="15108" max="15108" width="18.5703125" style="237" customWidth="1"/>
    <col min="15109" max="15109" width="24.42578125" style="237" customWidth="1"/>
    <col min="15110" max="15110" width="21" style="237" customWidth="1"/>
    <col min="15111" max="15111" width="19" style="237" customWidth="1"/>
    <col min="15112" max="15112" width="21.28515625" style="237" customWidth="1"/>
    <col min="15113" max="15113" width="42.7109375" style="237" customWidth="1"/>
    <col min="15114" max="15114" width="16.7109375" style="237" customWidth="1"/>
    <col min="15115" max="15115" width="34" style="237" customWidth="1"/>
    <col min="15116" max="15123" width="0" style="237" hidden="1" customWidth="1"/>
    <col min="15124" max="15361" width="9.140625" style="237"/>
    <col min="15362" max="15362" width="22.7109375" style="237" customWidth="1"/>
    <col min="15363" max="15363" width="22.5703125" style="237" customWidth="1"/>
    <col min="15364" max="15364" width="18.5703125" style="237" customWidth="1"/>
    <col min="15365" max="15365" width="24.42578125" style="237" customWidth="1"/>
    <col min="15366" max="15366" width="21" style="237" customWidth="1"/>
    <col min="15367" max="15367" width="19" style="237" customWidth="1"/>
    <col min="15368" max="15368" width="21.28515625" style="237" customWidth="1"/>
    <col min="15369" max="15369" width="42.7109375" style="237" customWidth="1"/>
    <col min="15370" max="15370" width="16.7109375" style="237" customWidth="1"/>
    <col min="15371" max="15371" width="34" style="237" customWidth="1"/>
    <col min="15372" max="15379" width="0" style="237" hidden="1" customWidth="1"/>
    <col min="15380" max="15617" width="9.140625" style="237"/>
    <col min="15618" max="15618" width="22.7109375" style="237" customWidth="1"/>
    <col min="15619" max="15619" width="22.5703125" style="237" customWidth="1"/>
    <col min="15620" max="15620" width="18.5703125" style="237" customWidth="1"/>
    <col min="15621" max="15621" width="24.42578125" style="237" customWidth="1"/>
    <col min="15622" max="15622" width="21" style="237" customWidth="1"/>
    <col min="15623" max="15623" width="19" style="237" customWidth="1"/>
    <col min="15624" max="15624" width="21.28515625" style="237" customWidth="1"/>
    <col min="15625" max="15625" width="42.7109375" style="237" customWidth="1"/>
    <col min="15626" max="15626" width="16.7109375" style="237" customWidth="1"/>
    <col min="15627" max="15627" width="34" style="237" customWidth="1"/>
    <col min="15628" max="15635" width="0" style="237" hidden="1" customWidth="1"/>
    <col min="15636" max="15873" width="9.140625" style="237"/>
    <col min="15874" max="15874" width="22.7109375" style="237" customWidth="1"/>
    <col min="15875" max="15875" width="22.5703125" style="237" customWidth="1"/>
    <col min="15876" max="15876" width="18.5703125" style="237" customWidth="1"/>
    <col min="15877" max="15877" width="24.42578125" style="237" customWidth="1"/>
    <col min="15878" max="15878" width="21" style="237" customWidth="1"/>
    <col min="15879" max="15879" width="19" style="237" customWidth="1"/>
    <col min="15880" max="15880" width="21.28515625" style="237" customWidth="1"/>
    <col min="15881" max="15881" width="42.7109375" style="237" customWidth="1"/>
    <col min="15882" max="15882" width="16.7109375" style="237" customWidth="1"/>
    <col min="15883" max="15883" width="34" style="237" customWidth="1"/>
    <col min="15884" max="15891" width="0" style="237" hidden="1" customWidth="1"/>
    <col min="15892" max="16129" width="9.140625" style="237"/>
    <col min="16130" max="16130" width="22.7109375" style="237" customWidth="1"/>
    <col min="16131" max="16131" width="22.5703125" style="237" customWidth="1"/>
    <col min="16132" max="16132" width="18.5703125" style="237" customWidth="1"/>
    <col min="16133" max="16133" width="24.42578125" style="237" customWidth="1"/>
    <col min="16134" max="16134" width="21" style="237" customWidth="1"/>
    <col min="16135" max="16135" width="19" style="237" customWidth="1"/>
    <col min="16136" max="16136" width="21.28515625" style="237" customWidth="1"/>
    <col min="16137" max="16137" width="42.7109375" style="237" customWidth="1"/>
    <col min="16138" max="16138" width="16.7109375" style="237" customWidth="1"/>
    <col min="16139" max="16139" width="34" style="237" customWidth="1"/>
    <col min="16140" max="16147" width="0" style="237" hidden="1" customWidth="1"/>
    <col min="16148" max="16384" width="9.140625" style="237"/>
  </cols>
  <sheetData>
    <row r="1" spans="1:29" s="132" customFormat="1" ht="12.75" hidden="1" customHeight="1">
      <c r="A1" s="2"/>
      <c r="B1" s="3"/>
      <c r="C1" s="3"/>
      <c r="D1" s="3"/>
      <c r="E1" s="3"/>
      <c r="F1" s="3"/>
      <c r="G1" s="4"/>
      <c r="H1" s="4"/>
      <c r="I1" s="3"/>
      <c r="J1" s="3"/>
    </row>
    <row r="2" spans="1:29" s="132" customFormat="1" ht="12.75" hidden="1" customHeight="1">
      <c r="A2" s="2"/>
      <c r="B2" s="493" t="s">
        <v>152</v>
      </c>
      <c r="C2" s="494"/>
      <c r="D2" s="494"/>
      <c r="E2" s="494"/>
      <c r="F2" s="494"/>
      <c r="G2" s="494"/>
      <c r="H2" s="494"/>
      <c r="I2" s="495"/>
      <c r="J2" s="3"/>
    </row>
    <row r="3" spans="1:29" s="132" customFormat="1" ht="12.75" hidden="1" customHeight="1">
      <c r="A3" s="2"/>
      <c r="B3" s="493" t="s">
        <v>95</v>
      </c>
      <c r="C3" s="494"/>
      <c r="D3" s="494"/>
      <c r="E3" s="494"/>
      <c r="F3" s="494"/>
      <c r="G3" s="494"/>
      <c r="H3" s="494"/>
      <c r="I3" s="495"/>
      <c r="J3" s="3"/>
    </row>
    <row r="4" spans="1:29" s="132" customFormat="1" ht="12.75" hidden="1" customHeight="1">
      <c r="A4" s="2"/>
      <c r="B4" s="469" t="s">
        <v>227</v>
      </c>
      <c r="C4" s="470"/>
      <c r="D4" s="470"/>
      <c r="E4" s="470"/>
      <c r="F4" s="470"/>
      <c r="G4" s="470"/>
      <c r="H4" s="470"/>
      <c r="I4" s="471"/>
      <c r="J4" s="5"/>
    </row>
    <row r="5" spans="1:29" s="132" customFormat="1" ht="12.75" hidden="1" customHeight="1">
      <c r="A5" s="2"/>
      <c r="B5" s="472"/>
      <c r="C5" s="473"/>
      <c r="D5" s="473"/>
      <c r="E5" s="473"/>
      <c r="F5" s="473"/>
      <c r="G5" s="473"/>
      <c r="H5" s="473"/>
      <c r="I5" s="474"/>
      <c r="J5" s="5"/>
    </row>
    <row r="6" spans="1:29" s="132" customFormat="1" ht="12.75" hidden="1" customHeight="1" thickBot="1">
      <c r="A6" s="2"/>
      <c r="B6" s="472"/>
      <c r="C6" s="473"/>
      <c r="D6" s="473"/>
      <c r="E6" s="473"/>
      <c r="F6" s="473"/>
      <c r="G6" s="473"/>
      <c r="H6" s="473"/>
      <c r="I6" s="474"/>
      <c r="J6" s="5"/>
    </row>
    <row r="7" spans="1:29" s="132" customFormat="1" ht="12.75" hidden="1" customHeight="1" thickTop="1">
      <c r="A7" s="2"/>
      <c r="B7" s="475" t="s">
        <v>92</v>
      </c>
      <c r="C7" s="476"/>
      <c r="D7" s="476"/>
      <c r="E7" s="476"/>
      <c r="F7" s="476"/>
      <c r="G7" s="476"/>
      <c r="H7" s="476"/>
      <c r="I7" s="477"/>
      <c r="J7" s="6"/>
    </row>
    <row r="8" spans="1:29" s="132" customFormat="1" ht="12.75" hidden="1" customHeight="1">
      <c r="A8" s="2"/>
      <c r="B8" s="478"/>
      <c r="C8" s="479"/>
      <c r="D8" s="479"/>
      <c r="E8" s="479"/>
      <c r="F8" s="479"/>
      <c r="G8" s="479"/>
      <c r="H8" s="479"/>
      <c r="I8" s="480"/>
      <c r="J8" s="6"/>
    </row>
    <row r="9" spans="1:29" s="132" customFormat="1" ht="12.75" hidden="1" customHeight="1">
      <c r="A9" s="2"/>
      <c r="B9" s="7"/>
      <c r="C9" s="37" t="s">
        <v>93</v>
      </c>
      <c r="D9" s="8" t="s">
        <v>103</v>
      </c>
      <c r="E9" s="9"/>
      <c r="F9" s="9"/>
      <c r="G9" s="10"/>
      <c r="H9" s="10"/>
      <c r="I9" s="11"/>
      <c r="J9" s="12"/>
    </row>
    <row r="10" spans="1:29" s="132" customFormat="1" ht="12.75" hidden="1" customHeight="1" thickBot="1">
      <c r="A10" s="13"/>
      <c r="B10" s="20"/>
      <c r="C10" s="21"/>
      <c r="D10" s="22"/>
      <c r="E10" s="23"/>
      <c r="F10" s="23"/>
      <c r="G10" s="24"/>
      <c r="H10" s="24"/>
      <c r="I10" s="25"/>
      <c r="J10" s="12"/>
    </row>
    <row r="11" spans="1:29" s="132" customFormat="1" ht="12.75" hidden="1" customHeight="1" thickTop="1">
      <c r="A11" s="13"/>
      <c r="B11" s="26"/>
      <c r="C11" s="26"/>
      <c r="D11" s="26"/>
      <c r="E11" s="26"/>
      <c r="F11" s="26"/>
      <c r="G11" s="27"/>
      <c r="H11" s="27"/>
      <c r="I11" s="26"/>
      <c r="J11" s="3"/>
    </row>
    <row r="12" spans="1:29" s="132" customFormat="1" ht="12.75" hidden="1" customHeight="1">
      <c r="A12" s="72"/>
      <c r="B12" s="72"/>
      <c r="C12" s="72"/>
      <c r="D12" s="72"/>
      <c r="E12" s="72"/>
      <c r="F12" s="72"/>
      <c r="G12" s="74"/>
      <c r="H12" s="74"/>
      <c r="I12" s="72"/>
      <c r="J12" s="72"/>
      <c r="R12" s="237"/>
    </row>
    <row r="13" spans="1:29" s="132" customFormat="1" ht="12.75" customHeight="1">
      <c r="A13" s="72"/>
      <c r="B13" s="72"/>
      <c r="C13" s="72"/>
      <c r="D13" s="72"/>
      <c r="E13" s="72"/>
      <c r="F13" s="72"/>
      <c r="G13" s="74"/>
      <c r="H13" s="74"/>
      <c r="I13" s="72"/>
      <c r="J13" s="72"/>
      <c r="AC13" s="237"/>
    </row>
    <row r="14" spans="1:29" s="132" customFormat="1" ht="12.75" customHeight="1">
      <c r="A14" s="72"/>
      <c r="B14" s="72"/>
      <c r="C14" s="72"/>
      <c r="D14" s="72"/>
      <c r="E14" s="72"/>
      <c r="F14" s="72"/>
      <c r="G14" s="74"/>
      <c r="H14" s="74"/>
      <c r="I14" s="72"/>
      <c r="J14" s="72"/>
      <c r="AC14" s="237"/>
    </row>
    <row r="15" spans="1:29" ht="18" customHeight="1">
      <c r="B15" s="238"/>
      <c r="F15" s="239"/>
      <c r="G15" s="240"/>
      <c r="H15" s="240"/>
      <c r="Z15" s="242" t="s">
        <v>798</v>
      </c>
    </row>
    <row r="16" spans="1:29">
      <c r="Z16" s="237" t="str">
        <f>CONCATENATE(C22,D22,E22,F22,G22,H22)</f>
        <v>00000000000000000111001111111111</v>
      </c>
    </row>
    <row r="17" spans="1:29" ht="13.5" thickBot="1">
      <c r="B17" s="243"/>
      <c r="C17" s="244"/>
      <c r="Z17" s="237" t="str">
        <f>BIN2HEX(RIGHT((LEFT(Z16,4)),4))</f>
        <v>0</v>
      </c>
    </row>
    <row r="18" spans="1:29" ht="13.5" thickBot="1">
      <c r="B18" s="245" t="s">
        <v>798</v>
      </c>
      <c r="C18" s="246"/>
      <c r="D18" s="246"/>
      <c r="E18" s="246"/>
      <c r="F18" s="246"/>
      <c r="G18" s="246"/>
      <c r="H18" s="246"/>
      <c r="I18" s="276"/>
      <c r="J18" s="276"/>
      <c r="K18" s="276"/>
      <c r="L18" s="276"/>
      <c r="M18" s="276"/>
      <c r="N18" s="276"/>
      <c r="O18" s="276"/>
      <c r="P18" s="276"/>
      <c r="Q18" s="276"/>
      <c r="R18" s="276"/>
      <c r="S18" s="276"/>
      <c r="T18" s="276"/>
      <c r="U18" s="276"/>
      <c r="V18" s="276"/>
      <c r="W18" s="276"/>
      <c r="X18" s="276"/>
      <c r="Y18" s="248"/>
      <c r="Z18" s="237" t="str">
        <f>BIN2HEX(RIGHT((LEFT(Z16,8)),4))</f>
        <v>0</v>
      </c>
    </row>
    <row r="19" spans="1:29" ht="13.5" thickTop="1">
      <c r="B19" s="249"/>
      <c r="C19" s="250" t="s">
        <v>1523</v>
      </c>
      <c r="D19" s="251" t="s">
        <v>1524</v>
      </c>
      <c r="E19" s="251" t="s">
        <v>1525</v>
      </c>
      <c r="F19" s="251" t="s">
        <v>1526</v>
      </c>
      <c r="G19" s="251" t="s">
        <v>1527</v>
      </c>
      <c r="H19" s="251" t="s">
        <v>1528</v>
      </c>
      <c r="I19" s="271"/>
      <c r="J19" s="271"/>
      <c r="K19" s="271"/>
      <c r="L19" s="271"/>
      <c r="M19" s="271"/>
      <c r="N19" s="271"/>
      <c r="O19" s="271"/>
      <c r="P19" s="271"/>
      <c r="Q19" s="271"/>
      <c r="R19" s="271"/>
      <c r="S19" s="271"/>
      <c r="T19" s="271"/>
      <c r="U19" s="271"/>
      <c r="V19" s="271"/>
      <c r="W19" s="271"/>
      <c r="X19" s="271"/>
      <c r="Y19" s="254"/>
      <c r="Z19" s="237" t="str">
        <f>BIN2HEX(RIGHT((LEFT(Z16,12)),4))</f>
        <v>0</v>
      </c>
    </row>
    <row r="20" spans="1:29">
      <c r="B20" s="255" t="s">
        <v>189</v>
      </c>
      <c r="C20" s="256">
        <v>1</v>
      </c>
      <c r="D20" s="257">
        <v>14</v>
      </c>
      <c r="E20" s="257">
        <v>5</v>
      </c>
      <c r="F20" s="257">
        <v>2</v>
      </c>
      <c r="G20" s="257">
        <v>5</v>
      </c>
      <c r="H20" s="257">
        <v>5</v>
      </c>
      <c r="I20" s="274"/>
      <c r="J20" s="274"/>
      <c r="K20" s="274"/>
      <c r="L20" s="274"/>
      <c r="M20" s="274"/>
      <c r="N20" s="274"/>
      <c r="O20" s="274"/>
      <c r="P20" s="274"/>
      <c r="Q20" s="274"/>
      <c r="R20" s="274"/>
      <c r="S20" s="274"/>
      <c r="T20" s="274"/>
      <c r="U20" s="274"/>
      <c r="V20" s="274"/>
      <c r="W20" s="274"/>
      <c r="X20" s="274"/>
      <c r="Y20" s="261"/>
      <c r="Z20" s="237" t="str">
        <f>BIN2HEX(RIGHT((LEFT(Z16,16)),4))</f>
        <v>0</v>
      </c>
    </row>
    <row r="21" spans="1:29">
      <c r="B21" s="262" t="s">
        <v>16</v>
      </c>
      <c r="C21" s="263">
        <f>IF(ECC_Enable="No",0,1)</f>
        <v>0</v>
      </c>
      <c r="D21" s="259">
        <v>0</v>
      </c>
      <c r="E21" s="259">
        <v>7</v>
      </c>
      <c r="F21" s="259">
        <v>0</v>
      </c>
      <c r="G21" s="259" t="s">
        <v>653</v>
      </c>
      <c r="H21" s="259" t="s">
        <v>653</v>
      </c>
      <c r="I21" s="261"/>
      <c r="J21" s="261"/>
      <c r="K21" s="261"/>
      <c r="L21" s="261"/>
      <c r="M21" s="261"/>
      <c r="N21" s="261"/>
      <c r="O21" s="261"/>
      <c r="P21" s="261"/>
      <c r="Q21" s="261"/>
      <c r="R21" s="261"/>
      <c r="S21" s="261"/>
      <c r="T21" s="261"/>
      <c r="U21" s="261"/>
      <c r="V21" s="261"/>
      <c r="W21" s="261"/>
      <c r="X21" s="261"/>
      <c r="Y21" s="261"/>
      <c r="Z21" s="237" t="str">
        <f>BIN2HEX(RIGHT((LEFT(Z16,20)),4))</f>
        <v>7</v>
      </c>
    </row>
    <row r="22" spans="1:29" ht="13.5" thickBot="1">
      <c r="B22" s="264" t="s">
        <v>17</v>
      </c>
      <c r="C22" s="265" t="str">
        <f t="shared" ref="C22" si="0">HEX2BIN(C21,C20)</f>
        <v>0</v>
      </c>
      <c r="D22" s="277" t="s">
        <v>417</v>
      </c>
      <c r="E22" s="265" t="str">
        <f>HEX2BIN(E21,E20)</f>
        <v>00111</v>
      </c>
      <c r="F22" s="265" t="str">
        <f t="shared" ref="F22:H22" si="1">HEX2BIN(F21,F20)</f>
        <v>00</v>
      </c>
      <c r="G22" s="265" t="str">
        <f t="shared" si="1"/>
        <v>11111</v>
      </c>
      <c r="H22" s="265" t="str">
        <f t="shared" si="1"/>
        <v>11111</v>
      </c>
      <c r="I22" s="261"/>
      <c r="J22" s="261"/>
      <c r="K22" s="261"/>
      <c r="L22" s="261"/>
      <c r="M22" s="261"/>
      <c r="N22" s="261"/>
      <c r="O22" s="261"/>
      <c r="P22" s="261"/>
      <c r="Q22" s="261"/>
      <c r="R22" s="261"/>
      <c r="S22" s="261"/>
      <c r="T22" s="261"/>
      <c r="U22" s="261"/>
      <c r="V22" s="261"/>
      <c r="W22" s="261"/>
      <c r="X22" s="261"/>
      <c r="Y22" s="261"/>
      <c r="Z22" s="237" t="str">
        <f>BIN2HEX(RIGHT((LEFT(Z16,24)),4))</f>
        <v>3</v>
      </c>
    </row>
    <row r="23" spans="1:29" ht="13.5" thickBot="1">
      <c r="B23" s="266" t="s">
        <v>18</v>
      </c>
      <c r="C23" s="267" t="str">
        <f>CONCATENATE("0x",Z17,Z18,Z19,Z20,Z21,Z22,Z23,Z24)</f>
        <v>0x000073FF</v>
      </c>
      <c r="Z23" s="237" t="str">
        <f>BIN2HEX(RIGHT((LEFT(Z16,28)),4))</f>
        <v>F</v>
      </c>
    </row>
    <row r="24" spans="1:29">
      <c r="B24" s="243"/>
      <c r="C24" s="244"/>
      <c r="Z24" s="237" t="str">
        <f>BIN2HEX(RIGHT((LEFT(Z16,33)),4))</f>
        <v>F</v>
      </c>
    </row>
    <row r="25" spans="1:29" s="132" customFormat="1" ht="12.75" customHeight="1">
      <c r="A25" s="35"/>
      <c r="B25" s="35"/>
      <c r="C25" s="35"/>
      <c r="D25" s="35"/>
      <c r="E25" s="35"/>
      <c r="F25" s="35"/>
      <c r="G25" s="36"/>
      <c r="H25" s="36"/>
      <c r="I25" s="35"/>
      <c r="J25" s="35"/>
      <c r="AC25" s="237"/>
    </row>
    <row r="26" spans="1:29" ht="18" customHeight="1">
      <c r="B26" s="238"/>
      <c r="F26" s="239"/>
      <c r="G26" s="240"/>
      <c r="H26" s="240"/>
      <c r="Z26" s="242" t="s">
        <v>864</v>
      </c>
    </row>
    <row r="27" spans="1:29">
      <c r="Z27" s="237" t="str">
        <f>CONCATENATE(C33,D33,E33,F33,G33,H33,I33,J33,K33,L33,M33,N33,O33,P33,Q33,R33,S33,T33,U33,V33,W33,X33)</f>
        <v>10000001000001000000000000010000</v>
      </c>
    </row>
    <row r="28" spans="1:29" ht="13.5" thickBot="1">
      <c r="B28" s="243"/>
      <c r="C28" s="244"/>
      <c r="Z28" s="237" t="str">
        <f>BIN2HEX(RIGHT((LEFT(Z27,4)),4))</f>
        <v>8</v>
      </c>
    </row>
    <row r="29" spans="1:29" ht="13.5" thickBot="1">
      <c r="B29" s="245" t="s">
        <v>864</v>
      </c>
      <c r="C29" s="246"/>
      <c r="D29" s="246"/>
      <c r="E29" s="246"/>
      <c r="F29" s="246"/>
      <c r="G29" s="246"/>
      <c r="H29" s="246"/>
      <c r="I29" s="246"/>
      <c r="J29" s="246"/>
      <c r="K29" s="246"/>
      <c r="L29" s="246"/>
      <c r="M29" s="246"/>
      <c r="N29" s="246"/>
      <c r="O29" s="246"/>
      <c r="P29" s="246"/>
      <c r="Q29" s="246"/>
      <c r="R29" s="246"/>
      <c r="S29" s="246"/>
      <c r="T29" s="247"/>
      <c r="U29" s="246"/>
      <c r="V29" s="246"/>
      <c r="W29" s="247"/>
      <c r="X29" s="247"/>
      <c r="Y29" s="248"/>
      <c r="Z29" s="237" t="str">
        <f>BIN2HEX(RIGHT((LEFT(Z27,8)),4))</f>
        <v>1</v>
      </c>
    </row>
    <row r="30" spans="1:29" ht="13.5" thickTop="1">
      <c r="B30" s="249"/>
      <c r="C30" s="250" t="s">
        <v>512</v>
      </c>
      <c r="D30" s="251" t="s">
        <v>513</v>
      </c>
      <c r="E30" s="251" t="s">
        <v>530</v>
      </c>
      <c r="F30" s="251" t="s">
        <v>529</v>
      </c>
      <c r="G30" s="251" t="s">
        <v>192</v>
      </c>
      <c r="H30" s="251" t="s">
        <v>514</v>
      </c>
      <c r="I30" s="251" t="s">
        <v>515</v>
      </c>
      <c r="J30" s="251" t="s">
        <v>516</v>
      </c>
      <c r="K30" s="251" t="s">
        <v>517</v>
      </c>
      <c r="L30" s="252" t="s">
        <v>185</v>
      </c>
      <c r="M30" s="251" t="s">
        <v>518</v>
      </c>
      <c r="N30" s="251" t="s">
        <v>519</v>
      </c>
      <c r="O30" s="251" t="s">
        <v>520</v>
      </c>
      <c r="P30" s="251" t="s">
        <v>521</v>
      </c>
      <c r="Q30" s="253" t="s">
        <v>522</v>
      </c>
      <c r="R30" s="251" t="s">
        <v>187</v>
      </c>
      <c r="S30" s="251" t="s">
        <v>523</v>
      </c>
      <c r="T30" s="253" t="s">
        <v>524</v>
      </c>
      <c r="U30" s="251" t="s">
        <v>525</v>
      </c>
      <c r="V30" s="251" t="s">
        <v>526</v>
      </c>
      <c r="W30" s="253" t="s">
        <v>527</v>
      </c>
      <c r="X30" s="253" t="s">
        <v>528</v>
      </c>
      <c r="Y30" s="254"/>
      <c r="Z30" s="237" t="str">
        <f>BIN2HEX(RIGHT((LEFT(Z27,12)),4))</f>
        <v>0</v>
      </c>
    </row>
    <row r="31" spans="1:29">
      <c r="B31" s="255" t="s">
        <v>189</v>
      </c>
      <c r="C31" s="256">
        <v>2</v>
      </c>
      <c r="D31" s="257">
        <v>1</v>
      </c>
      <c r="E31" s="257">
        <v>3</v>
      </c>
      <c r="F31" s="257">
        <v>2</v>
      </c>
      <c r="G31" s="257">
        <v>1</v>
      </c>
      <c r="H31" s="257">
        <v>1</v>
      </c>
      <c r="I31" s="257">
        <v>2</v>
      </c>
      <c r="J31" s="257">
        <v>4</v>
      </c>
      <c r="K31" s="257">
        <v>1</v>
      </c>
      <c r="L31" s="258">
        <v>1</v>
      </c>
      <c r="M31" s="259">
        <v>2</v>
      </c>
      <c r="N31" s="259">
        <v>1</v>
      </c>
      <c r="O31" s="259">
        <v>1</v>
      </c>
      <c r="P31" s="259">
        <v>1</v>
      </c>
      <c r="Q31" s="260">
        <v>1</v>
      </c>
      <c r="R31" s="259">
        <v>2</v>
      </c>
      <c r="S31" s="259">
        <v>1</v>
      </c>
      <c r="T31" s="260">
        <v>1</v>
      </c>
      <c r="U31" s="259">
        <v>1</v>
      </c>
      <c r="V31" s="259">
        <v>1</v>
      </c>
      <c r="W31" s="260">
        <v>1</v>
      </c>
      <c r="X31" s="260">
        <v>1</v>
      </c>
      <c r="Y31" s="261"/>
      <c r="Z31" s="237" t="str">
        <f>BIN2HEX(RIGHT((LEFT(Z27,16)),4))</f>
        <v>4</v>
      </c>
    </row>
    <row r="32" spans="1:29">
      <c r="B32" s="262" t="s">
        <v>16</v>
      </c>
      <c r="C32" s="263">
        <f>IF(DDR_device_width=8,1,IF(DDR_device_width=16,2,3))</f>
        <v>2</v>
      </c>
      <c r="D32" s="259">
        <v>0</v>
      </c>
      <c r="E32" s="259">
        <v>0</v>
      </c>
      <c r="F32" s="259" t="str">
        <f>DEC2HEX(IF(DDR_Rank="Single_Rank",1,3))</f>
        <v>1</v>
      </c>
      <c r="G32" s="259">
        <v>0</v>
      </c>
      <c r="H32" s="259">
        <v>0</v>
      </c>
      <c r="I32" s="259">
        <v>0</v>
      </c>
      <c r="J32" s="259" t="str">
        <f>DEC2HEX(IF(BL=8,4,IF(BL=16,8,"ERROR")))</f>
        <v>4</v>
      </c>
      <c r="K32" s="259">
        <v>0</v>
      </c>
      <c r="L32" s="259">
        <v>0</v>
      </c>
      <c r="M32" s="259">
        <f>IF(DDR_Width=32,0,IF(DDR_Width=16,1,"ERROR"))</f>
        <v>0</v>
      </c>
      <c r="N32" s="259">
        <v>0</v>
      </c>
      <c r="O32" s="259">
        <v>0</v>
      </c>
      <c r="P32" s="259">
        <v>0</v>
      </c>
      <c r="Q32" s="260">
        <v>0</v>
      </c>
      <c r="R32" s="259">
        <v>0</v>
      </c>
      <c r="S32" s="260">
        <f>IF(Memory_Type="LPDDR4",1,0)</f>
        <v>0</v>
      </c>
      <c r="T32" s="260">
        <f>IF(Memory_Type="DDR4",1,0)</f>
        <v>1</v>
      </c>
      <c r="U32" s="259">
        <v>0</v>
      </c>
      <c r="V32" s="259">
        <v>0</v>
      </c>
      <c r="W32" s="260">
        <v>0</v>
      </c>
      <c r="X32" s="260">
        <f>IF(Memory_Type="DDR3L",1,0)</f>
        <v>0</v>
      </c>
      <c r="Y32" s="261"/>
      <c r="Z32" s="237" t="str">
        <f>BIN2HEX(RIGHT((LEFT(Z27,20)),4))</f>
        <v>0</v>
      </c>
    </row>
    <row r="33" spans="2:26" ht="13.5" thickBot="1">
      <c r="B33" s="264" t="s">
        <v>17</v>
      </c>
      <c r="C33" s="265" t="str">
        <f t="shared" ref="C33:X33" si="2">HEX2BIN(C32,C31)</f>
        <v>10</v>
      </c>
      <c r="D33" s="265" t="str">
        <f t="shared" si="2"/>
        <v>0</v>
      </c>
      <c r="E33" s="265" t="str">
        <f>HEX2BIN(E32,E31)</f>
        <v>000</v>
      </c>
      <c r="F33" s="265" t="str">
        <f t="shared" si="2"/>
        <v>01</v>
      </c>
      <c r="G33" s="265" t="str">
        <f t="shared" si="2"/>
        <v>0</v>
      </c>
      <c r="H33" s="265" t="str">
        <f t="shared" si="2"/>
        <v>0</v>
      </c>
      <c r="I33" s="265" t="str">
        <f t="shared" si="2"/>
        <v>00</v>
      </c>
      <c r="J33" s="265" t="str">
        <f t="shared" si="2"/>
        <v>0100</v>
      </c>
      <c r="K33" s="265" t="str">
        <f t="shared" si="2"/>
        <v>0</v>
      </c>
      <c r="L33" s="265" t="str">
        <f t="shared" si="2"/>
        <v>0</v>
      </c>
      <c r="M33" s="265" t="str">
        <f t="shared" si="2"/>
        <v>00</v>
      </c>
      <c r="N33" s="265" t="str">
        <f t="shared" si="2"/>
        <v>0</v>
      </c>
      <c r="O33" s="265" t="str">
        <f t="shared" si="2"/>
        <v>0</v>
      </c>
      <c r="P33" s="265" t="str">
        <f t="shared" si="2"/>
        <v>0</v>
      </c>
      <c r="Q33" s="265" t="str">
        <f t="shared" si="2"/>
        <v>0</v>
      </c>
      <c r="R33" s="265" t="str">
        <f t="shared" si="2"/>
        <v>00</v>
      </c>
      <c r="S33" s="265" t="str">
        <f t="shared" si="2"/>
        <v>0</v>
      </c>
      <c r="T33" s="265" t="str">
        <f t="shared" si="2"/>
        <v>1</v>
      </c>
      <c r="U33" s="265" t="str">
        <f t="shared" si="2"/>
        <v>0</v>
      </c>
      <c r="V33" s="265" t="str">
        <f t="shared" si="2"/>
        <v>0</v>
      </c>
      <c r="W33" s="265" t="str">
        <f t="shared" si="2"/>
        <v>0</v>
      </c>
      <c r="X33" s="265" t="str">
        <f t="shared" si="2"/>
        <v>0</v>
      </c>
      <c r="Y33" s="261"/>
      <c r="Z33" s="237" t="str">
        <f>BIN2HEX(RIGHT((LEFT(Z27,24)),4))</f>
        <v>0</v>
      </c>
    </row>
    <row r="34" spans="2:26" ht="13.5" thickBot="1">
      <c r="B34" s="266" t="s">
        <v>18</v>
      </c>
      <c r="C34" s="267" t="str">
        <f>CONCATENATE("0x",Z28,Z29,Z30,Z31,Z32,Z33,Z34,Z35)</f>
        <v>0x81040010</v>
      </c>
      <c r="Z34" s="237" t="str">
        <f>BIN2HEX(RIGHT((LEFT(Z27,28)),4))</f>
        <v>1</v>
      </c>
    </row>
    <row r="35" spans="2:26">
      <c r="B35" s="243"/>
      <c r="C35" s="244"/>
      <c r="Z35" s="237" t="str">
        <f>BIN2HEX(RIGHT((LEFT(Z27,33)),4))</f>
        <v>0</v>
      </c>
    </row>
    <row r="36" spans="2:26">
      <c r="Z36" s="242" t="s">
        <v>865</v>
      </c>
    </row>
    <row r="37" spans="2:26" ht="13.5" thickBot="1">
      <c r="Z37" s="237" t="str">
        <f>CONCATENATE(C42,D42,E42,F42,G42)</f>
        <v>00000000010100010000000001110101</v>
      </c>
    </row>
    <row r="38" spans="2:26" ht="13.5" thickBot="1">
      <c r="B38" s="245" t="s">
        <v>865</v>
      </c>
      <c r="C38" s="246"/>
      <c r="D38" s="246"/>
      <c r="E38" s="246"/>
      <c r="F38" s="246"/>
      <c r="G38" s="246"/>
      <c r="Z38" s="237" t="str">
        <f>BIN2HEX(RIGHT((LEFT(Z37,4)),4))</f>
        <v>0</v>
      </c>
    </row>
    <row r="39" spans="2:26" ht="13.5" thickTop="1">
      <c r="B39" s="249"/>
      <c r="C39" s="268" t="s">
        <v>89</v>
      </c>
      <c r="D39" s="251" t="s">
        <v>531</v>
      </c>
      <c r="E39" s="251" t="s">
        <v>532</v>
      </c>
      <c r="F39" s="251" t="s">
        <v>533</v>
      </c>
      <c r="G39" s="269" t="s">
        <v>534</v>
      </c>
      <c r="H39" s="248"/>
      <c r="I39" s="248"/>
      <c r="J39" s="248"/>
      <c r="K39" s="248"/>
      <c r="L39" s="248"/>
      <c r="M39" s="248"/>
      <c r="N39" s="248"/>
      <c r="O39" s="248"/>
      <c r="P39" s="248"/>
      <c r="Q39" s="248"/>
      <c r="R39" s="248"/>
      <c r="S39" s="248"/>
      <c r="T39" s="248"/>
      <c r="U39" s="248"/>
      <c r="V39" s="248"/>
      <c r="W39" s="248"/>
      <c r="X39" s="248"/>
      <c r="Y39" s="248"/>
      <c r="Z39" s="237" t="str">
        <f>BIN2HEX(RIGHT((LEFT(Z37,8)),4))</f>
        <v>0</v>
      </c>
    </row>
    <row r="40" spans="2:26">
      <c r="B40" s="255" t="s">
        <v>189</v>
      </c>
      <c r="C40" s="256">
        <v>4</v>
      </c>
      <c r="D40" s="257">
        <v>12</v>
      </c>
      <c r="E40" s="257">
        <v>1</v>
      </c>
      <c r="F40" s="257">
        <v>5</v>
      </c>
      <c r="G40" s="270">
        <v>10</v>
      </c>
      <c r="H40" s="271"/>
      <c r="I40" s="271"/>
      <c r="J40" s="271"/>
      <c r="K40" s="271"/>
      <c r="L40" s="271"/>
      <c r="M40" s="272"/>
      <c r="N40" s="272"/>
      <c r="O40" s="272"/>
      <c r="P40" s="272"/>
      <c r="Q40" s="272"/>
      <c r="R40" s="272"/>
      <c r="S40" s="272"/>
      <c r="T40" s="272"/>
      <c r="U40" s="272"/>
      <c r="V40" s="272"/>
      <c r="W40" s="272"/>
      <c r="X40" s="272"/>
      <c r="Y40" s="272"/>
      <c r="Z40" s="237" t="str">
        <f>BIN2HEX(RIGHT((LEFT(Z37,12)),4))</f>
        <v>5</v>
      </c>
    </row>
    <row r="41" spans="2:26">
      <c r="B41" s="262" t="s">
        <v>16</v>
      </c>
      <c r="C41" s="263">
        <v>0</v>
      </c>
      <c r="D41" s="259" t="str">
        <f>IF(Memory_Type="DDR4",IF(Refresh_Mode=0,DEC2HEX(TRUNC(TREFI/tCK/2/32),3),"ToDo Refresh Modes"),DEC2HEX(TRUNC(TREFI/tCK/2/32),3))</f>
        <v>051</v>
      </c>
      <c r="E41" s="259">
        <v>0</v>
      </c>
      <c r="F41" s="259">
        <v>0</v>
      </c>
      <c r="G41" s="273" t="str">
        <f>IF(Memory_Type="DDR4",IF(Refresh_Mode=0,DEC2HEX(ROUNDUP(ROUNDUP(tRFC/tCK,0)/2,0)),"Todo Refresh Modes"),DEC2HEX(ROUNDUP(ROUNDUP(tRFC/tCK,0)/2,0)))</f>
        <v>75</v>
      </c>
      <c r="H41" s="274"/>
      <c r="I41" s="274"/>
      <c r="J41" s="274"/>
      <c r="K41" s="274"/>
      <c r="L41" s="274"/>
      <c r="M41" s="272"/>
      <c r="N41" s="272"/>
      <c r="O41" s="272"/>
      <c r="P41" s="272"/>
      <c r="Q41" s="272"/>
      <c r="R41" s="272"/>
      <c r="S41" s="272"/>
      <c r="T41" s="272"/>
      <c r="U41" s="272"/>
      <c r="V41" s="272"/>
      <c r="W41" s="272"/>
      <c r="X41" s="272"/>
      <c r="Y41" s="272"/>
      <c r="Z41" s="237" t="str">
        <f>BIN2HEX(RIGHT((LEFT(Z37,16)),4))</f>
        <v>1</v>
      </c>
    </row>
    <row r="42" spans="2:26" ht="13.5" thickBot="1">
      <c r="B42" s="264" t="s">
        <v>17</v>
      </c>
      <c r="C42" s="265" t="str">
        <f>HEX2BIN(C41,C40)</f>
        <v>0000</v>
      </c>
      <c r="D42" s="265" t="str">
        <f>CONCATENATE(HEX2BIN(LEFT(D41,2),8),HEX2BIN(RIGHT(LEFT(D41,4),1),4))</f>
        <v>000001010001</v>
      </c>
      <c r="E42" s="265" t="str">
        <f>HEX2BIN(E41,E40)</f>
        <v>0</v>
      </c>
      <c r="F42" s="265" t="str">
        <f>HEX2BIN(F41,F40)</f>
        <v>00000</v>
      </c>
      <c r="G42" s="265" t="str">
        <f>HEX2BIN(G41,G40)</f>
        <v>0001110101</v>
      </c>
      <c r="H42" s="261"/>
      <c r="I42" s="261"/>
      <c r="J42" s="261"/>
      <c r="K42" s="261"/>
      <c r="L42" s="261"/>
      <c r="M42" s="261"/>
      <c r="N42" s="261"/>
      <c r="O42" s="261"/>
      <c r="P42" s="261"/>
      <c r="Q42" s="261"/>
      <c r="R42" s="261"/>
      <c r="S42" s="261"/>
      <c r="T42" s="261"/>
      <c r="U42" s="261"/>
      <c r="V42" s="261"/>
      <c r="W42" s="261"/>
      <c r="X42" s="261"/>
      <c r="Y42" s="261"/>
      <c r="Z42" s="237" t="str">
        <f>BIN2HEX(RIGHT((LEFT(Z37,20)),4))</f>
        <v>0</v>
      </c>
    </row>
    <row r="43" spans="2:26" ht="13.5" thickBot="1">
      <c r="B43" s="266" t="s">
        <v>18</v>
      </c>
      <c r="C43" s="267" t="str">
        <f>CONCATENATE("0x",Z38,Z39,Z40,Z41,Z42,Z43,Z44,Z45)</f>
        <v>0x00510075</v>
      </c>
      <c r="Z43" s="237" t="str">
        <f>BIN2HEX(RIGHT((LEFT(Z37,24)),4))</f>
        <v>0</v>
      </c>
    </row>
    <row r="44" spans="2:26">
      <c r="Z44" s="237" t="str">
        <f>BIN2HEX(RIGHT((LEFT(Z37,28)),4))</f>
        <v>7</v>
      </c>
    </row>
    <row r="45" spans="2:26">
      <c r="Z45" s="237" t="str">
        <f>BIN2HEX(RIGHT((LEFT(Z37,33)),4))</f>
        <v>5</v>
      </c>
    </row>
    <row r="46" spans="2:26">
      <c r="Z46" s="242" t="s">
        <v>774</v>
      </c>
    </row>
    <row r="47" spans="2:26" ht="13.5" thickBot="1">
      <c r="Z47" s="237" t="str">
        <f>CONCATENATE(C52,D52,E52,F52,G52,H52,I52,J52,K52,L52,M52,N52)</f>
        <v>00000000000000000000000000000000</v>
      </c>
    </row>
    <row r="48" spans="2:26" ht="13.5" thickBot="1">
      <c r="B48" s="245" t="s">
        <v>774</v>
      </c>
      <c r="C48" s="246"/>
      <c r="D48" s="246"/>
      <c r="E48" s="246"/>
      <c r="F48" s="246"/>
      <c r="G48" s="246"/>
      <c r="H48" s="246"/>
      <c r="I48" s="246"/>
      <c r="J48" s="246"/>
      <c r="K48" s="246"/>
      <c r="L48" s="246"/>
      <c r="M48" s="246"/>
      <c r="N48" s="246"/>
      <c r="Z48" s="237" t="str">
        <f>BIN2HEX(RIGHT((LEFT(Z47,4)),4))</f>
        <v>0</v>
      </c>
    </row>
    <row r="49" spans="2:26" ht="13.5" thickTop="1">
      <c r="B49" s="249"/>
      <c r="C49" s="268" t="s">
        <v>89</v>
      </c>
      <c r="D49" s="251" t="s">
        <v>1349</v>
      </c>
      <c r="E49" s="251" t="s">
        <v>1350</v>
      </c>
      <c r="F49" s="251" t="s">
        <v>1351</v>
      </c>
      <c r="G49" s="269" t="s">
        <v>1359</v>
      </c>
      <c r="H49" s="251" t="s">
        <v>1352</v>
      </c>
      <c r="I49" s="251" t="s">
        <v>1353</v>
      </c>
      <c r="J49" s="251" t="s">
        <v>1354</v>
      </c>
      <c r="K49" s="251" t="s">
        <v>1355</v>
      </c>
      <c r="L49" s="269" t="s">
        <v>1356</v>
      </c>
      <c r="M49" s="251" t="s">
        <v>1357</v>
      </c>
      <c r="N49" s="269" t="s">
        <v>1358</v>
      </c>
      <c r="O49" s="248"/>
      <c r="P49" s="248"/>
      <c r="Q49" s="248"/>
      <c r="R49" s="248"/>
      <c r="S49" s="248"/>
      <c r="T49" s="248"/>
      <c r="U49" s="248"/>
      <c r="V49" s="248"/>
      <c r="W49" s="248"/>
      <c r="X49" s="248"/>
      <c r="Y49" s="248"/>
      <c r="Z49" s="237" t="str">
        <f>BIN2HEX(RIGHT((LEFT(Z47,8)),4))</f>
        <v>0</v>
      </c>
    </row>
    <row r="50" spans="2:26">
      <c r="B50" s="255" t="s">
        <v>189</v>
      </c>
      <c r="C50" s="256">
        <v>4</v>
      </c>
      <c r="D50" s="257">
        <v>4</v>
      </c>
      <c r="E50" s="257">
        <v>4</v>
      </c>
      <c r="F50" s="257">
        <v>4</v>
      </c>
      <c r="G50" s="270">
        <v>1</v>
      </c>
      <c r="H50" s="257">
        <v>7</v>
      </c>
      <c r="I50" s="257">
        <v>1</v>
      </c>
      <c r="J50" s="257">
        <v>1</v>
      </c>
      <c r="K50" s="257">
        <v>1</v>
      </c>
      <c r="L50" s="270">
        <v>1</v>
      </c>
      <c r="M50" s="257">
        <v>1</v>
      </c>
      <c r="N50" s="270">
        <v>3</v>
      </c>
      <c r="O50" s="272"/>
      <c r="P50" s="272"/>
      <c r="Q50" s="272"/>
      <c r="R50" s="272"/>
      <c r="S50" s="272"/>
      <c r="T50" s="272"/>
      <c r="U50" s="272"/>
      <c r="V50" s="272"/>
      <c r="W50" s="272"/>
      <c r="X50" s="272"/>
      <c r="Y50" s="272"/>
      <c r="Z50" s="237" t="str">
        <f>BIN2HEX(RIGHT((LEFT(Z47,12)),4))</f>
        <v>0</v>
      </c>
    </row>
    <row r="51" spans="2:26">
      <c r="B51" s="262" t="s">
        <v>16</v>
      </c>
      <c r="C51" s="263">
        <v>0</v>
      </c>
      <c r="D51" s="259">
        <v>0</v>
      </c>
      <c r="E51" s="259">
        <v>0</v>
      </c>
      <c r="F51" s="259">
        <v>0</v>
      </c>
      <c r="G51" s="273">
        <v>0</v>
      </c>
      <c r="H51" s="259">
        <v>0</v>
      </c>
      <c r="I51" s="259">
        <v>0</v>
      </c>
      <c r="J51" s="259">
        <v>0</v>
      </c>
      <c r="K51" s="259">
        <v>0</v>
      </c>
      <c r="L51" s="273">
        <f>IF(ENABLE_ECC=0,0,1)</f>
        <v>0</v>
      </c>
      <c r="M51" s="259">
        <v>0</v>
      </c>
      <c r="N51" s="273">
        <f>IF(ENABLE_ECC=0,0,4)</f>
        <v>0</v>
      </c>
      <c r="O51" s="272"/>
      <c r="P51" s="272"/>
      <c r="Q51" s="272"/>
      <c r="R51" s="272"/>
      <c r="S51" s="272"/>
      <c r="T51" s="272"/>
      <c r="U51" s="272"/>
      <c r="V51" s="272"/>
      <c r="W51" s="272"/>
      <c r="X51" s="272"/>
      <c r="Y51" s="272"/>
      <c r="Z51" s="237" t="str">
        <f>BIN2HEX(RIGHT((LEFT(Z47,16)),4))</f>
        <v>0</v>
      </c>
    </row>
    <row r="52" spans="2:26" ht="13.5" thickBot="1">
      <c r="B52" s="264" t="s">
        <v>17</v>
      </c>
      <c r="C52" s="265" t="str">
        <f t="shared" ref="C52:N52" si="3">HEX2BIN(C51,C50)</f>
        <v>0000</v>
      </c>
      <c r="D52" s="265" t="str">
        <f t="shared" si="3"/>
        <v>0000</v>
      </c>
      <c r="E52" s="265" t="str">
        <f t="shared" si="3"/>
        <v>0000</v>
      </c>
      <c r="F52" s="265" t="str">
        <f t="shared" si="3"/>
        <v>0000</v>
      </c>
      <c r="G52" s="265" t="str">
        <f t="shared" si="3"/>
        <v>0</v>
      </c>
      <c r="H52" s="265" t="str">
        <f t="shared" si="3"/>
        <v>0000000</v>
      </c>
      <c r="I52" s="265" t="str">
        <f t="shared" si="3"/>
        <v>0</v>
      </c>
      <c r="J52" s="265" t="str">
        <f t="shared" si="3"/>
        <v>0</v>
      </c>
      <c r="K52" s="265" t="str">
        <f t="shared" si="3"/>
        <v>0</v>
      </c>
      <c r="L52" s="265" t="str">
        <f t="shared" si="3"/>
        <v>0</v>
      </c>
      <c r="M52" s="265" t="str">
        <f t="shared" si="3"/>
        <v>0</v>
      </c>
      <c r="N52" s="265" t="str">
        <f t="shared" si="3"/>
        <v>000</v>
      </c>
      <c r="O52" s="261"/>
      <c r="P52" s="261"/>
      <c r="Q52" s="261"/>
      <c r="R52" s="261"/>
      <c r="S52" s="261"/>
      <c r="T52" s="261"/>
      <c r="U52" s="261"/>
      <c r="V52" s="261"/>
      <c r="W52" s="261"/>
      <c r="X52" s="261"/>
      <c r="Y52" s="261"/>
      <c r="Z52" s="237" t="str">
        <f>BIN2HEX(RIGHT((LEFT(Z47,20)),4))</f>
        <v>0</v>
      </c>
    </row>
    <row r="53" spans="2:26" ht="13.5" thickBot="1">
      <c r="B53" s="266" t="s">
        <v>18</v>
      </c>
      <c r="C53" s="267" t="str">
        <f>CONCATENATE("0x",Z48,Z49,Z50,Z51,Z52,Z53,Z54,Z55)</f>
        <v>0x00000000</v>
      </c>
      <c r="Z53" s="237" t="str">
        <f>BIN2HEX(RIGHT((LEFT(Z47,24)),4))</f>
        <v>0</v>
      </c>
    </row>
    <row r="54" spans="2:26">
      <c r="Z54" s="237" t="str">
        <f>BIN2HEX(RIGHT((LEFT(Z47,28)),4))</f>
        <v>0</v>
      </c>
    </row>
    <row r="55" spans="2:26">
      <c r="Z55" s="237" t="str">
        <f>BIN2HEX(RIGHT((LEFT(Z47,33)),4))</f>
        <v>0</v>
      </c>
    </row>
    <row r="56" spans="2:26">
      <c r="B56" s="243"/>
      <c r="C56" s="244"/>
    </row>
    <row r="57" spans="2:26">
      <c r="B57" s="243"/>
      <c r="C57" s="244"/>
    </row>
    <row r="58" spans="2:26">
      <c r="Z58" s="242" t="s">
        <v>796</v>
      </c>
    </row>
    <row r="59" spans="2:26" ht="13.5" thickBot="1">
      <c r="Z59" s="237" t="str">
        <f>CONCATENATE(C64,D64,E64,F64,G64,H64,I64,J64,K64)</f>
        <v>00000000000000000000000000000001</v>
      </c>
    </row>
    <row r="60" spans="2:26" ht="13.5" thickBot="1">
      <c r="B60" s="245" t="s">
        <v>796</v>
      </c>
      <c r="C60" s="246"/>
      <c r="D60" s="246"/>
      <c r="E60" s="246"/>
      <c r="F60" s="246"/>
      <c r="G60" s="246"/>
      <c r="H60" s="246"/>
      <c r="I60" s="246"/>
      <c r="J60" s="246"/>
      <c r="K60" s="246"/>
      <c r="L60" s="248"/>
      <c r="M60" s="248"/>
      <c r="N60" s="248"/>
      <c r="O60" s="248"/>
      <c r="P60" s="248"/>
      <c r="Q60" s="248"/>
      <c r="R60" s="248"/>
      <c r="S60" s="248"/>
      <c r="T60" s="248"/>
      <c r="U60" s="248"/>
      <c r="V60" s="248"/>
      <c r="W60" s="248"/>
      <c r="X60" s="248"/>
      <c r="Y60" s="248"/>
      <c r="Z60" s="237" t="str">
        <f>BIN2HEX(RIGHT((LEFT(Z59,4)),4))</f>
        <v>0</v>
      </c>
    </row>
    <row r="61" spans="2:26" ht="13.5" thickTop="1">
      <c r="B61" s="249"/>
      <c r="C61" s="268" t="s">
        <v>422</v>
      </c>
      <c r="D61" s="251" t="s">
        <v>1398</v>
      </c>
      <c r="E61" s="251" t="s">
        <v>187</v>
      </c>
      <c r="F61" s="251" t="s">
        <v>1399</v>
      </c>
      <c r="G61" s="251" t="s">
        <v>1400</v>
      </c>
      <c r="H61" s="251" t="s">
        <v>1401</v>
      </c>
      <c r="I61" s="251" t="s">
        <v>1402</v>
      </c>
      <c r="J61" s="251" t="s">
        <v>1403</v>
      </c>
      <c r="K61" s="252" t="s">
        <v>1404</v>
      </c>
      <c r="L61" s="272"/>
      <c r="M61" s="272"/>
      <c r="N61" s="272"/>
      <c r="O61" s="272"/>
      <c r="P61" s="272"/>
      <c r="Q61" s="272"/>
      <c r="R61" s="272"/>
      <c r="S61" s="272"/>
      <c r="T61" s="272"/>
      <c r="U61" s="272"/>
      <c r="V61" s="272"/>
      <c r="W61" s="272"/>
      <c r="X61" s="272"/>
      <c r="Y61" s="272"/>
      <c r="Z61" s="237" t="str">
        <f>BIN2HEX(RIGHT((LEFT(Z59,8)),4))</f>
        <v>0</v>
      </c>
    </row>
    <row r="62" spans="2:26">
      <c r="B62" s="255" t="s">
        <v>189</v>
      </c>
      <c r="C62" s="256">
        <v>19</v>
      </c>
      <c r="D62" s="257">
        <v>5</v>
      </c>
      <c r="E62" s="257">
        <v>2</v>
      </c>
      <c r="F62" s="257">
        <v>1</v>
      </c>
      <c r="G62" s="257">
        <v>1</v>
      </c>
      <c r="H62" s="257">
        <v>1</v>
      </c>
      <c r="I62" s="257">
        <v>1</v>
      </c>
      <c r="J62" s="257">
        <v>1</v>
      </c>
      <c r="K62" s="258">
        <v>1</v>
      </c>
      <c r="L62" s="272"/>
      <c r="M62" s="272"/>
      <c r="N62" s="272"/>
      <c r="O62" s="272"/>
      <c r="P62" s="272"/>
      <c r="Q62" s="272"/>
      <c r="R62" s="272"/>
      <c r="S62" s="272"/>
      <c r="T62" s="272"/>
      <c r="U62" s="272"/>
      <c r="V62" s="272"/>
      <c r="W62" s="272"/>
      <c r="X62" s="272"/>
      <c r="Y62" s="272"/>
      <c r="Z62" s="237" t="str">
        <f>BIN2HEX(RIGHT((LEFT(Z59,12)),4))</f>
        <v>0</v>
      </c>
    </row>
    <row r="63" spans="2:26">
      <c r="B63" s="262" t="s">
        <v>16</v>
      </c>
      <c r="C63" s="263">
        <v>0</v>
      </c>
      <c r="D63" s="275">
        <v>0</v>
      </c>
      <c r="E63" s="259">
        <v>0</v>
      </c>
      <c r="F63" s="259">
        <v>0</v>
      </c>
      <c r="G63" s="259">
        <v>0</v>
      </c>
      <c r="H63" s="259">
        <v>0</v>
      </c>
      <c r="I63" s="259">
        <f>IF(Memory_Type="LPDDR4",1,0)</f>
        <v>0</v>
      </c>
      <c r="J63" s="259">
        <v>0</v>
      </c>
      <c r="K63" s="259">
        <v>1</v>
      </c>
      <c r="L63" s="261"/>
      <c r="M63" s="261"/>
      <c r="N63" s="261"/>
      <c r="O63" s="261"/>
      <c r="P63" s="261"/>
      <c r="Q63" s="261"/>
      <c r="R63" s="261"/>
      <c r="S63" s="261"/>
      <c r="T63" s="261"/>
      <c r="U63" s="261"/>
      <c r="V63" s="261"/>
      <c r="W63" s="261"/>
      <c r="X63" s="261"/>
      <c r="Y63" s="261"/>
      <c r="Z63" s="237" t="str">
        <f>BIN2HEX(RIGHT((LEFT(Z59,16)),4))</f>
        <v>0</v>
      </c>
    </row>
    <row r="64" spans="2:26" ht="13.5" thickBot="1">
      <c r="B64" s="264" t="s">
        <v>17</v>
      </c>
      <c r="C64" s="277" t="s">
        <v>431</v>
      </c>
      <c r="D64" s="265" t="str">
        <f t="shared" ref="D64:H64" si="4">HEX2BIN(D63,D62)</f>
        <v>00000</v>
      </c>
      <c r="E64" s="265" t="str">
        <f t="shared" si="4"/>
        <v>00</v>
      </c>
      <c r="F64" s="265" t="str">
        <f t="shared" si="4"/>
        <v>0</v>
      </c>
      <c r="G64" s="265" t="str">
        <f t="shared" si="4"/>
        <v>0</v>
      </c>
      <c r="H64" s="265" t="str">
        <f t="shared" si="4"/>
        <v>0</v>
      </c>
      <c r="I64" s="265" t="str">
        <f>HEX2BIN(I63,I62)</f>
        <v>0</v>
      </c>
      <c r="J64" s="265" t="str">
        <f>HEX2BIN(J63,J62)</f>
        <v>0</v>
      </c>
      <c r="K64" s="265" t="str">
        <f>HEX2BIN(K63,K62)</f>
        <v>1</v>
      </c>
      <c r="L64" s="261"/>
      <c r="M64" s="261"/>
      <c r="N64" s="261"/>
      <c r="O64" s="261"/>
      <c r="P64" s="261"/>
      <c r="Q64" s="261"/>
      <c r="R64" s="261"/>
      <c r="S64" s="261"/>
      <c r="T64" s="261"/>
      <c r="U64" s="261"/>
      <c r="V64" s="261"/>
      <c r="W64" s="261"/>
      <c r="X64" s="261"/>
      <c r="Y64" s="261"/>
      <c r="Z64" s="237" t="str">
        <f>BIN2HEX(RIGHT((LEFT(Z59,20)),4))</f>
        <v>0</v>
      </c>
    </row>
    <row r="65" spans="2:26" ht="13.5" thickBot="1">
      <c r="B65" s="266" t="s">
        <v>18</v>
      </c>
      <c r="C65" s="267" t="str">
        <f>CONCATENATE("0x",Z60,Z61,Z62,Z63,Z64,Z65,Z66,Z67)</f>
        <v>0x00000001</v>
      </c>
      <c r="Z65" s="237" t="str">
        <f>BIN2HEX(RIGHT((LEFT(Z59,24)),4))</f>
        <v>0</v>
      </c>
    </row>
    <row r="66" spans="2:26">
      <c r="Z66" s="237" t="str">
        <f>BIN2HEX(RIGHT((LEFT(Z59,28)),4))</f>
        <v>0</v>
      </c>
    </row>
    <row r="67" spans="2:26">
      <c r="Z67" s="237" t="str">
        <f>BIN2HEX(RIGHT((LEFT(Z59,33)),4))</f>
        <v>1</v>
      </c>
    </row>
    <row r="68" spans="2:26">
      <c r="B68" s="243"/>
      <c r="C68" s="244"/>
    </row>
    <row r="69" spans="2:26">
      <c r="Z69" s="242" t="s">
        <v>866</v>
      </c>
    </row>
    <row r="70" spans="2:26" ht="13.5" thickBot="1">
      <c r="Z70" s="237" t="str">
        <f>CONCATENATE(C75,D75,E75,F75,G75,H75,I75,J75,K75)</f>
        <v>00000100100010001000001000000110</v>
      </c>
    </row>
    <row r="71" spans="2:26" ht="13.5" thickBot="1">
      <c r="B71" s="245" t="s">
        <v>866</v>
      </c>
      <c r="C71" s="246"/>
      <c r="D71" s="246"/>
      <c r="E71" s="246"/>
      <c r="F71" s="246"/>
      <c r="G71" s="246"/>
      <c r="H71" s="246"/>
      <c r="I71" s="246"/>
      <c r="J71" s="246"/>
      <c r="K71" s="246"/>
      <c r="L71" s="248"/>
      <c r="M71" s="248"/>
      <c r="N71" s="248"/>
      <c r="O71" s="248"/>
      <c r="P71" s="248"/>
      <c r="Q71" s="248"/>
      <c r="R71" s="248"/>
      <c r="S71" s="248"/>
      <c r="T71" s="248"/>
      <c r="U71" s="248"/>
      <c r="V71" s="248"/>
      <c r="W71" s="248"/>
      <c r="X71" s="248"/>
      <c r="Y71" s="248"/>
      <c r="Z71" s="237" t="str">
        <f>BIN2HEX(RIGHT((LEFT(Z70,4)),4))</f>
        <v>0</v>
      </c>
    </row>
    <row r="72" spans="2:26" ht="13.5" thickTop="1">
      <c r="B72" s="249"/>
      <c r="C72" s="268" t="s">
        <v>180</v>
      </c>
      <c r="D72" s="251" t="s">
        <v>181</v>
      </c>
      <c r="E72" s="251" t="s">
        <v>182</v>
      </c>
      <c r="F72" s="251" t="s">
        <v>183</v>
      </c>
      <c r="G72" s="251" t="s">
        <v>184</v>
      </c>
      <c r="H72" s="251" t="s">
        <v>185</v>
      </c>
      <c r="I72" s="251" t="s">
        <v>186</v>
      </c>
      <c r="J72" s="251" t="s">
        <v>187</v>
      </c>
      <c r="K72" s="252" t="s">
        <v>188</v>
      </c>
      <c r="L72" s="272"/>
      <c r="M72" s="272"/>
      <c r="N72" s="272"/>
      <c r="O72" s="272"/>
      <c r="P72" s="272"/>
      <c r="Q72" s="272"/>
      <c r="R72" s="272"/>
      <c r="S72" s="272"/>
      <c r="T72" s="272"/>
      <c r="U72" s="272"/>
      <c r="V72" s="272"/>
      <c r="W72" s="272"/>
      <c r="X72" s="272"/>
      <c r="Y72" s="272"/>
      <c r="Z72" s="237" t="str">
        <f>BIN2HEX(RIGHT((LEFT(Z70,8)),4))</f>
        <v>4</v>
      </c>
    </row>
    <row r="73" spans="2:26">
      <c r="B73" s="255" t="s">
        <v>189</v>
      </c>
      <c r="C73" s="256">
        <v>3</v>
      </c>
      <c r="D73" s="257">
        <v>5</v>
      </c>
      <c r="E73" s="257">
        <v>1</v>
      </c>
      <c r="F73" s="257">
        <v>7</v>
      </c>
      <c r="G73" s="257">
        <v>1</v>
      </c>
      <c r="H73" s="257">
        <v>1</v>
      </c>
      <c r="I73" s="257">
        <v>6</v>
      </c>
      <c r="J73" s="257">
        <v>2</v>
      </c>
      <c r="K73" s="258">
        <v>6</v>
      </c>
      <c r="L73" s="272"/>
      <c r="M73" s="272"/>
      <c r="N73" s="272"/>
      <c r="O73" s="272"/>
      <c r="P73" s="272"/>
      <c r="Q73" s="272"/>
      <c r="R73" s="272"/>
      <c r="S73" s="272"/>
      <c r="T73" s="272"/>
      <c r="U73" s="272"/>
      <c r="V73" s="272"/>
      <c r="W73" s="272"/>
      <c r="X73" s="272"/>
      <c r="Y73" s="272"/>
      <c r="Z73" s="237" t="str">
        <f>BIN2HEX(RIGHT((LEFT(Z70,12)),4))</f>
        <v>8</v>
      </c>
    </row>
    <row r="74" spans="2:26">
      <c r="B74" s="262" t="s">
        <v>16</v>
      </c>
      <c r="C74" s="263">
        <v>0</v>
      </c>
      <c r="D74" s="275" t="str">
        <f>DEC2HEX(2+1+1)</f>
        <v>4</v>
      </c>
      <c r="E74" s="259">
        <v>1</v>
      </c>
      <c r="F74" s="259" t="str">
        <f>IF(Memory_Type="LPDDR4",DEC2HEX(RL+AL-4+I570),DEC2HEX(RL+AL-4))</f>
        <v>8</v>
      </c>
      <c r="G74" s="259">
        <v>1</v>
      </c>
      <c r="H74" s="259">
        <v>0</v>
      </c>
      <c r="I74" s="259">
        <v>2</v>
      </c>
      <c r="J74" s="259">
        <v>0</v>
      </c>
      <c r="K74" s="259" t="str">
        <f>IF(Memory_Type="LPDDR4",DEC2HEX(WL+AL-3+1),DEC2HEX(WL+AL-3))</f>
        <v>6</v>
      </c>
      <c r="L74" s="261"/>
      <c r="M74" s="261"/>
      <c r="N74" s="261"/>
      <c r="O74" s="261"/>
      <c r="P74" s="261"/>
      <c r="Q74" s="261"/>
      <c r="R74" s="261"/>
      <c r="S74" s="261"/>
      <c r="T74" s="261"/>
      <c r="U74" s="261"/>
      <c r="V74" s="261"/>
      <c r="W74" s="261"/>
      <c r="X74" s="261"/>
      <c r="Y74" s="261"/>
      <c r="Z74" s="237" t="str">
        <f>BIN2HEX(RIGHT((LEFT(Z70,16)),4))</f>
        <v>8</v>
      </c>
    </row>
    <row r="75" spans="2:26" ht="13.5" thickBot="1">
      <c r="B75" s="264" t="s">
        <v>17</v>
      </c>
      <c r="C75" s="265" t="str">
        <f t="shared" ref="C75:H75" si="5">HEX2BIN(C74,C73)</f>
        <v>000</v>
      </c>
      <c r="D75" s="265" t="str">
        <f t="shared" si="5"/>
        <v>00100</v>
      </c>
      <c r="E75" s="265" t="str">
        <f t="shared" si="5"/>
        <v>1</v>
      </c>
      <c r="F75" s="265" t="str">
        <f t="shared" si="5"/>
        <v>0001000</v>
      </c>
      <c r="G75" s="265" t="str">
        <f t="shared" si="5"/>
        <v>1</v>
      </c>
      <c r="H75" s="265" t="str">
        <f t="shared" si="5"/>
        <v>0</v>
      </c>
      <c r="I75" s="265" t="str">
        <f>HEX2BIN(I74,I73)</f>
        <v>000010</v>
      </c>
      <c r="J75" s="265" t="str">
        <f>HEX2BIN(J74,J73)</f>
        <v>00</v>
      </c>
      <c r="K75" s="265" t="str">
        <f>HEX2BIN(K74,K73)</f>
        <v>000110</v>
      </c>
      <c r="L75" s="261"/>
      <c r="M75" s="261"/>
      <c r="N75" s="261"/>
      <c r="O75" s="261"/>
      <c r="P75" s="261"/>
      <c r="Q75" s="261"/>
      <c r="R75" s="261"/>
      <c r="S75" s="261"/>
      <c r="T75" s="261"/>
      <c r="U75" s="261"/>
      <c r="V75" s="261"/>
      <c r="W75" s="261"/>
      <c r="X75" s="261"/>
      <c r="Y75" s="261"/>
      <c r="Z75" s="237" t="str">
        <f>BIN2HEX(RIGHT((LEFT(Z70,20)),4))</f>
        <v>8</v>
      </c>
    </row>
    <row r="76" spans="2:26" ht="13.5" thickBot="1">
      <c r="B76" s="266" t="s">
        <v>18</v>
      </c>
      <c r="C76" s="267" t="str">
        <f>CONCATENATE("0x",Z71,Z72,Z73,Z74,Z75,Z76,Z77,Z78)</f>
        <v>0x04888206</v>
      </c>
      <c r="Z76" s="237" t="str">
        <f>BIN2HEX(RIGHT((LEFT(Z70,24)),4))</f>
        <v>2</v>
      </c>
    </row>
    <row r="77" spans="2:26">
      <c r="Z77" s="237" t="str">
        <f>BIN2HEX(RIGHT((LEFT(Z70,28)),4))</f>
        <v>0</v>
      </c>
    </row>
    <row r="78" spans="2:26">
      <c r="Z78" s="237" t="str">
        <f>BIN2HEX(RIGHT((LEFT(Z70,33)),4))</f>
        <v>6</v>
      </c>
    </row>
    <row r="79" spans="2:26">
      <c r="Z79" s="242" t="s">
        <v>867</v>
      </c>
    </row>
    <row r="80" spans="2:26" ht="13.5" thickBot="1">
      <c r="Z80" s="237" t="str">
        <f>CONCATENATE(C85,D85,E85,F85,G85,H85,I85,J85,K85)</f>
        <v>00000000000010100000011000000110</v>
      </c>
    </row>
    <row r="81" spans="2:26" ht="13.5" thickBot="1">
      <c r="B81" s="245" t="s">
        <v>867</v>
      </c>
      <c r="C81" s="246"/>
      <c r="D81" s="246"/>
      <c r="E81" s="246"/>
      <c r="F81" s="246"/>
      <c r="G81" s="246"/>
      <c r="H81" s="246"/>
      <c r="I81" s="246"/>
      <c r="J81" s="246"/>
      <c r="K81" s="246"/>
      <c r="L81" s="248"/>
      <c r="M81" s="248"/>
      <c r="N81" s="248"/>
      <c r="O81" s="248"/>
      <c r="P81" s="248"/>
      <c r="Q81" s="248"/>
      <c r="R81" s="248"/>
      <c r="S81" s="248"/>
      <c r="T81" s="248"/>
      <c r="U81" s="248"/>
      <c r="V81" s="248"/>
      <c r="W81" s="248"/>
      <c r="X81" s="248"/>
      <c r="Y81" s="248"/>
      <c r="Z81" s="237" t="str">
        <f>BIN2HEX(RIGHT((LEFT(Z80,4)),4))</f>
        <v>0</v>
      </c>
    </row>
    <row r="82" spans="2:26" ht="13.5" thickTop="1">
      <c r="B82" s="249"/>
      <c r="C82" s="268" t="s">
        <v>338</v>
      </c>
      <c r="D82" s="251" t="s">
        <v>339</v>
      </c>
      <c r="E82" s="251" t="s">
        <v>340</v>
      </c>
      <c r="F82" s="251" t="s">
        <v>341</v>
      </c>
      <c r="G82" s="251" t="s">
        <v>342</v>
      </c>
      <c r="H82" s="251" t="s">
        <v>256</v>
      </c>
      <c r="I82" s="251" t="s">
        <v>343</v>
      </c>
      <c r="J82" s="251" t="s">
        <v>196</v>
      </c>
      <c r="K82" s="252" t="s">
        <v>344</v>
      </c>
      <c r="L82" s="272"/>
      <c r="M82" s="272"/>
      <c r="N82" s="272"/>
      <c r="O82" s="272"/>
      <c r="P82" s="272"/>
      <c r="Q82" s="272"/>
      <c r="R82" s="272"/>
      <c r="S82" s="272"/>
      <c r="T82" s="272"/>
      <c r="U82" s="272"/>
      <c r="V82" s="272"/>
      <c r="W82" s="272"/>
      <c r="X82" s="272"/>
      <c r="Y82" s="272"/>
      <c r="Z82" s="237" t="str">
        <f>BIN2HEX(RIGHT((LEFT(Z80,8)),4))</f>
        <v>0</v>
      </c>
    </row>
    <row r="83" spans="2:26">
      <c r="B83" s="255" t="s">
        <v>189</v>
      </c>
      <c r="C83" s="256">
        <v>4</v>
      </c>
      <c r="D83" s="257">
        <v>2</v>
      </c>
      <c r="E83" s="257">
        <v>2</v>
      </c>
      <c r="F83" s="257">
        <v>3</v>
      </c>
      <c r="G83" s="257">
        <v>5</v>
      </c>
      <c r="H83" s="257">
        <v>3</v>
      </c>
      <c r="I83" s="257">
        <v>5</v>
      </c>
      <c r="J83" s="257">
        <v>3</v>
      </c>
      <c r="K83" s="258">
        <v>5</v>
      </c>
      <c r="L83" s="272"/>
      <c r="M83" s="272"/>
      <c r="N83" s="272"/>
      <c r="O83" s="272"/>
      <c r="P83" s="272"/>
      <c r="Q83" s="272"/>
      <c r="R83" s="272"/>
      <c r="S83" s="272"/>
      <c r="T83" s="272"/>
      <c r="U83" s="272"/>
      <c r="V83" s="272"/>
      <c r="W83" s="272"/>
      <c r="X83" s="272"/>
      <c r="Y83" s="272"/>
      <c r="Z83" s="237" t="str">
        <f>BIN2HEX(RIGHT((LEFT(Z80,12)),4))</f>
        <v>0</v>
      </c>
    </row>
    <row r="84" spans="2:26">
      <c r="B84" s="262" t="s">
        <v>16</v>
      </c>
      <c r="C84" s="263">
        <v>0</v>
      </c>
      <c r="D84" s="259">
        <v>0</v>
      </c>
      <c r="E84" s="259">
        <v>0</v>
      </c>
      <c r="F84" s="259">
        <v>0</v>
      </c>
      <c r="G84" s="259" t="str">
        <f>DEC2HEX(CEILING((5+1+1+BL/4+(BIN2DEC(LEFT(F995,3))-1)/2),1)+G74)</f>
        <v>A</v>
      </c>
      <c r="H84" s="259">
        <v>0</v>
      </c>
      <c r="I84" s="259" t="str">
        <f>DEC2HEX(2+2*(1+1))</f>
        <v>6</v>
      </c>
      <c r="J84" s="259">
        <v>0</v>
      </c>
      <c r="K84" s="259" t="str">
        <f>DEC2HEX(2+2*(1+1))</f>
        <v>6</v>
      </c>
      <c r="L84" s="261"/>
      <c r="M84" s="261"/>
      <c r="N84" s="261"/>
      <c r="O84" s="261"/>
      <c r="P84" s="261"/>
      <c r="Q84" s="261"/>
      <c r="R84" s="261"/>
      <c r="S84" s="261"/>
      <c r="T84" s="261"/>
      <c r="U84" s="261"/>
      <c r="V84" s="261"/>
      <c r="W84" s="261"/>
      <c r="X84" s="261"/>
      <c r="Y84" s="261"/>
      <c r="Z84" s="237" t="str">
        <f>BIN2HEX(RIGHT((LEFT(Z80,16)),4))</f>
        <v>A</v>
      </c>
    </row>
    <row r="85" spans="2:26" ht="13.5" thickBot="1">
      <c r="B85" s="264" t="s">
        <v>17</v>
      </c>
      <c r="C85" s="265" t="str">
        <f t="shared" ref="C85:H85" si="6">HEX2BIN(C84,C83)</f>
        <v>0000</v>
      </c>
      <c r="D85" s="265" t="str">
        <f t="shared" si="6"/>
        <v>00</v>
      </c>
      <c r="E85" s="265" t="str">
        <f t="shared" si="6"/>
        <v>00</v>
      </c>
      <c r="F85" s="265" t="str">
        <f t="shared" si="6"/>
        <v>000</v>
      </c>
      <c r="G85" s="265" t="str">
        <f t="shared" si="6"/>
        <v>01010</v>
      </c>
      <c r="H85" s="265" t="str">
        <f t="shared" si="6"/>
        <v>000</v>
      </c>
      <c r="I85" s="265" t="str">
        <f>HEX2BIN(I84,I83)</f>
        <v>00110</v>
      </c>
      <c r="J85" s="265" t="str">
        <f>HEX2BIN(J84,J83)</f>
        <v>000</v>
      </c>
      <c r="K85" s="265" t="str">
        <f>HEX2BIN(K84,K83)</f>
        <v>00110</v>
      </c>
      <c r="L85" s="261"/>
      <c r="M85" s="261"/>
      <c r="N85" s="261"/>
      <c r="O85" s="261"/>
      <c r="P85" s="261"/>
      <c r="Q85" s="261"/>
      <c r="R85" s="261"/>
      <c r="S85" s="261"/>
      <c r="T85" s="261"/>
      <c r="U85" s="261"/>
      <c r="V85" s="261"/>
      <c r="W85" s="261"/>
      <c r="X85" s="261"/>
      <c r="Y85" s="261"/>
      <c r="Z85" s="237" t="str">
        <f>BIN2HEX(RIGHT((LEFT(Z80,20)),4))</f>
        <v>0</v>
      </c>
    </row>
    <row r="86" spans="2:26" ht="13.5" thickBot="1">
      <c r="B86" s="266" t="s">
        <v>18</v>
      </c>
      <c r="C86" s="267" t="str">
        <f>CONCATENATE("0x",Z81,Z82,Z83,Z84,Z85,Z86,Z87,Z88)</f>
        <v>0x000A0606</v>
      </c>
      <c r="Z86" s="237" t="str">
        <f>BIN2HEX(RIGHT((LEFT(Z80,24)),4))</f>
        <v>6</v>
      </c>
    </row>
    <row r="87" spans="2:26">
      <c r="Z87" s="237" t="str">
        <f>BIN2HEX(RIGHT((LEFT(Z80,28)),4))</f>
        <v>0</v>
      </c>
    </row>
    <row r="88" spans="2:26">
      <c r="Z88" s="237" t="str">
        <f>BIN2HEX(RIGHT((LEFT(Z80,33)),4))</f>
        <v>6</v>
      </c>
    </row>
    <row r="89" spans="2:26">
      <c r="Z89" s="242" t="s">
        <v>868</v>
      </c>
    </row>
    <row r="90" spans="2:26" ht="13.5" thickBot="1">
      <c r="Z90" s="237" t="str">
        <f>CONCATENATE(C95,D95,E95,F95)</f>
        <v>00000000000000000000011000000100</v>
      </c>
    </row>
    <row r="91" spans="2:26" ht="13.5" thickBot="1">
      <c r="B91" s="245" t="s">
        <v>868</v>
      </c>
      <c r="C91" s="246"/>
      <c r="D91" s="246"/>
      <c r="E91" s="246"/>
      <c r="F91" s="246"/>
      <c r="G91" s="276"/>
      <c r="H91" s="276"/>
      <c r="I91" s="276"/>
      <c r="J91" s="276"/>
      <c r="K91" s="276"/>
      <c r="L91" s="248"/>
      <c r="M91" s="248"/>
      <c r="N91" s="248"/>
      <c r="O91" s="248"/>
      <c r="P91" s="248"/>
      <c r="Q91" s="248"/>
      <c r="R91" s="248"/>
      <c r="S91" s="248"/>
      <c r="T91" s="248"/>
      <c r="U91" s="248"/>
      <c r="V91" s="248"/>
      <c r="W91" s="248"/>
      <c r="X91" s="248"/>
      <c r="Y91" s="248"/>
      <c r="Z91" s="237" t="str">
        <f>BIN2HEX(RIGHT((LEFT(Z90,4)),4))</f>
        <v>0</v>
      </c>
    </row>
    <row r="92" spans="2:26" ht="13.5" thickTop="1">
      <c r="B92" s="249"/>
      <c r="C92" s="268" t="s">
        <v>421</v>
      </c>
      <c r="D92" s="251" t="s">
        <v>505</v>
      </c>
      <c r="E92" s="251" t="s">
        <v>187</v>
      </c>
      <c r="F92" s="251" t="s">
        <v>506</v>
      </c>
      <c r="G92" s="271"/>
      <c r="H92" s="271"/>
      <c r="I92" s="271"/>
      <c r="J92" s="271"/>
      <c r="K92" s="271"/>
      <c r="L92" s="272"/>
      <c r="M92" s="272"/>
      <c r="N92" s="272"/>
      <c r="O92" s="272"/>
      <c r="P92" s="272"/>
      <c r="Q92" s="272"/>
      <c r="R92" s="272"/>
      <c r="S92" s="272"/>
      <c r="T92" s="272"/>
      <c r="U92" s="272"/>
      <c r="V92" s="272"/>
      <c r="W92" s="272"/>
      <c r="X92" s="272"/>
      <c r="Y92" s="272"/>
      <c r="Z92" s="237" t="str">
        <f>BIN2HEX(RIGHT((LEFT(Z90,8)),4))</f>
        <v>0</v>
      </c>
    </row>
    <row r="93" spans="2:26">
      <c r="B93" s="255" t="s">
        <v>189</v>
      </c>
      <c r="C93" s="256">
        <v>17</v>
      </c>
      <c r="D93" s="257">
        <v>7</v>
      </c>
      <c r="E93" s="257">
        <v>2</v>
      </c>
      <c r="F93" s="257">
        <v>6</v>
      </c>
      <c r="G93" s="274"/>
      <c r="H93" s="274"/>
      <c r="I93" s="274"/>
      <c r="J93" s="274"/>
      <c r="K93" s="274"/>
      <c r="L93" s="272"/>
      <c r="M93" s="272"/>
      <c r="N93" s="272"/>
      <c r="O93" s="272"/>
      <c r="P93" s="272"/>
      <c r="Q93" s="272"/>
      <c r="R93" s="272"/>
      <c r="S93" s="272"/>
      <c r="T93" s="272"/>
      <c r="U93" s="272"/>
      <c r="V93" s="272"/>
      <c r="W93" s="272"/>
      <c r="X93" s="272"/>
      <c r="Y93" s="272"/>
      <c r="Z93" s="237" t="str">
        <f>BIN2HEX(RIGHT((LEFT(Z90,12)),4))</f>
        <v>0</v>
      </c>
    </row>
    <row r="94" spans="2:26">
      <c r="B94" s="262" t="s">
        <v>16</v>
      </c>
      <c r="C94" s="263">
        <v>0</v>
      </c>
      <c r="D94" s="259" t="str">
        <f>IF(Memory_Type="LPDDR4",DEC2HEX(RL-4-2+1),DEC2HEX(RL-4-2))</f>
        <v>6</v>
      </c>
      <c r="E94" s="259">
        <v>0</v>
      </c>
      <c r="F94" s="259" t="str">
        <f>IF(Memory_Type="LPDDR4",DEC2HEX(WL-3-2+1),DEC2HEX(WL-3-2))</f>
        <v>4</v>
      </c>
      <c r="G94" s="261"/>
      <c r="H94" s="261"/>
      <c r="I94" s="261"/>
      <c r="J94" s="261"/>
      <c r="K94" s="261"/>
      <c r="L94" s="261"/>
      <c r="M94" s="261"/>
      <c r="N94" s="261"/>
      <c r="O94" s="261"/>
      <c r="P94" s="261"/>
      <c r="Q94" s="261"/>
      <c r="R94" s="261"/>
      <c r="S94" s="261"/>
      <c r="T94" s="261"/>
      <c r="U94" s="261"/>
      <c r="V94" s="261"/>
      <c r="W94" s="261"/>
      <c r="X94" s="261"/>
      <c r="Y94" s="261"/>
      <c r="Z94" s="237" t="str">
        <f>BIN2HEX(RIGHT((LEFT(Z90,16)),4))</f>
        <v>0</v>
      </c>
    </row>
    <row r="95" spans="2:26" ht="13.5" thickBot="1">
      <c r="B95" s="264" t="s">
        <v>17</v>
      </c>
      <c r="C95" s="277" t="s">
        <v>504</v>
      </c>
      <c r="D95" s="265" t="str">
        <f>HEX2BIN(D94,D93)</f>
        <v>0000110</v>
      </c>
      <c r="E95" s="265" t="str">
        <f>HEX2BIN(E94,E93)</f>
        <v>00</v>
      </c>
      <c r="F95" s="265" t="str">
        <f>HEX2BIN(F94,F93)</f>
        <v>000100</v>
      </c>
      <c r="G95" s="261"/>
      <c r="H95" s="261"/>
      <c r="I95" s="261"/>
      <c r="J95" s="261"/>
      <c r="K95" s="261"/>
      <c r="L95" s="261"/>
      <c r="M95" s="261"/>
      <c r="N95" s="261"/>
      <c r="O95" s="261"/>
      <c r="P95" s="261"/>
      <c r="Q95" s="261"/>
      <c r="R95" s="261"/>
      <c r="S95" s="261"/>
      <c r="T95" s="261"/>
      <c r="U95" s="261"/>
      <c r="V95" s="261"/>
      <c r="W95" s="261"/>
      <c r="X95" s="261"/>
      <c r="Y95" s="261"/>
      <c r="Z95" s="237" t="str">
        <f>BIN2HEX(RIGHT((LEFT(Z90,20)),4))</f>
        <v>0</v>
      </c>
    </row>
    <row r="96" spans="2:26" ht="13.5" thickBot="1">
      <c r="B96" s="266" t="s">
        <v>18</v>
      </c>
      <c r="C96" s="267" t="str">
        <f>CONCATENATE("0x",Z91,Z92,Z93,Z94,Z95,Z96,Z97,Z98)</f>
        <v>0x00000604</v>
      </c>
      <c r="Z96" s="237" t="str">
        <f>BIN2HEX(RIGHT((LEFT(Z90,24)),4))</f>
        <v>6</v>
      </c>
    </row>
    <row r="97" spans="2:26">
      <c r="Z97" s="237" t="str">
        <f>BIN2HEX(RIGHT((LEFT(Z90,28)),4))</f>
        <v>0</v>
      </c>
    </row>
    <row r="98" spans="2:26">
      <c r="Z98" s="237" t="str">
        <f>BIN2HEX(RIGHT((LEFT(Z90,33)),4))</f>
        <v>4</v>
      </c>
    </row>
    <row r="99" spans="2:26" ht="13.5" thickBot="1">
      <c r="Z99" s="248" t="s">
        <v>1202</v>
      </c>
    </row>
    <row r="100" spans="2:26" ht="13.5" thickBot="1">
      <c r="B100" s="245" t="s">
        <v>869</v>
      </c>
      <c r="C100" s="246"/>
      <c r="D100" s="246"/>
      <c r="E100" s="246"/>
      <c r="F100" s="246"/>
      <c r="G100" s="246"/>
      <c r="H100" s="246"/>
      <c r="I100" s="246"/>
      <c r="J100" s="276"/>
      <c r="K100" s="276"/>
      <c r="L100" s="276"/>
      <c r="M100" s="276"/>
      <c r="N100" s="276"/>
      <c r="O100" s="276"/>
      <c r="P100" s="248"/>
      <c r="Q100" s="248"/>
      <c r="R100" s="248"/>
      <c r="S100" s="248"/>
      <c r="T100" s="248"/>
      <c r="U100" s="248"/>
      <c r="V100" s="248"/>
      <c r="W100" s="248"/>
      <c r="X100" s="248"/>
      <c r="Y100" s="248"/>
      <c r="Z100" s="237" t="str">
        <f>CONCATENATE(C104,D104,E104,F104,G104,H104,I104,J104)</f>
        <v>00001011000010100001011000001011</v>
      </c>
    </row>
    <row r="101" spans="2:26" ht="13.5" thickTop="1">
      <c r="B101" s="249"/>
      <c r="C101" s="268" t="s">
        <v>87</v>
      </c>
      <c r="D101" s="251" t="s">
        <v>331</v>
      </c>
      <c r="E101" s="251" t="s">
        <v>323</v>
      </c>
      <c r="F101" s="251" t="s">
        <v>332</v>
      </c>
      <c r="G101" s="251" t="s">
        <v>333</v>
      </c>
      <c r="H101" s="251" t="s">
        <v>334</v>
      </c>
      <c r="I101" s="251" t="s">
        <v>578</v>
      </c>
      <c r="J101" s="251" t="s">
        <v>335</v>
      </c>
      <c r="K101" s="271"/>
      <c r="L101" s="271"/>
      <c r="M101" s="271"/>
      <c r="N101" s="271"/>
      <c r="O101" s="271"/>
      <c r="P101" s="272"/>
      <c r="Q101" s="272"/>
      <c r="R101" s="272"/>
      <c r="S101" s="272"/>
      <c r="T101" s="272"/>
      <c r="U101" s="272"/>
      <c r="V101" s="272"/>
      <c r="W101" s="272"/>
      <c r="X101" s="272"/>
      <c r="Y101" s="272"/>
      <c r="Z101" s="237" t="str">
        <f>BIN2HEX(RIGHT((LEFT(Z100,4)),4))</f>
        <v>0</v>
      </c>
    </row>
    <row r="102" spans="2:26">
      <c r="B102" s="255" t="s">
        <v>189</v>
      </c>
      <c r="C102" s="256">
        <v>1</v>
      </c>
      <c r="D102" s="257">
        <v>7</v>
      </c>
      <c r="E102" s="257">
        <v>2</v>
      </c>
      <c r="F102" s="257">
        <v>6</v>
      </c>
      <c r="G102" s="257">
        <v>1</v>
      </c>
      <c r="H102" s="257">
        <v>7</v>
      </c>
      <c r="I102" s="257">
        <v>2</v>
      </c>
      <c r="J102" s="257">
        <v>6</v>
      </c>
      <c r="K102" s="274"/>
      <c r="L102" s="274"/>
      <c r="M102" s="274"/>
      <c r="N102" s="274"/>
      <c r="O102" s="274"/>
      <c r="P102" s="272"/>
      <c r="Q102" s="272"/>
      <c r="R102" s="272"/>
      <c r="S102" s="272"/>
      <c r="T102" s="272"/>
      <c r="U102" s="272"/>
      <c r="V102" s="272"/>
      <c r="W102" s="272"/>
      <c r="X102" s="272"/>
      <c r="Y102" s="272"/>
      <c r="Z102" s="237" t="str">
        <f>BIN2HEX(RIGHT((LEFT(Z100,8)),4))</f>
        <v>B</v>
      </c>
    </row>
    <row r="103" spans="2:26">
      <c r="B103" s="262" t="s">
        <v>16</v>
      </c>
      <c r="C103" s="263">
        <v>0</v>
      </c>
      <c r="D103" s="259" t="str">
        <f>IF(Memory_Type="LPDDR4",DEC2HEX(TRUNC((WL+BL/2+tWR/tCK)/2+1,1)),DEC2HEX(TRUNC((WL+BL/2+tWR/tCK)/2,1)))</f>
        <v>B</v>
      </c>
      <c r="E103" s="259">
        <v>0</v>
      </c>
      <c r="F103" s="259" t="str">
        <f>DEC2HEX(CEILING(tFAW/tCK/2,1))</f>
        <v>A</v>
      </c>
      <c r="G103" s="259">
        <v>0</v>
      </c>
      <c r="H103" s="259" t="str">
        <f>DEC2HEX(TRUNC(((tRASmax/tCK)-1)/2/1024))</f>
        <v>16</v>
      </c>
      <c r="I103" s="259">
        <v>0</v>
      </c>
      <c r="J103" s="259" t="str">
        <f>DEC2HEX(CEILING(tRAS/tCK/2,1))</f>
        <v>B</v>
      </c>
      <c r="K103" s="261"/>
      <c r="L103" s="261"/>
      <c r="M103" s="261"/>
      <c r="N103" s="261"/>
      <c r="O103" s="261"/>
      <c r="P103" s="261"/>
      <c r="Q103" s="261"/>
      <c r="R103" s="261"/>
      <c r="S103" s="261"/>
      <c r="T103" s="261"/>
      <c r="U103" s="261"/>
      <c r="V103" s="261"/>
      <c r="W103" s="261"/>
      <c r="X103" s="261"/>
      <c r="Y103" s="261"/>
      <c r="Z103" s="237" t="str">
        <f>BIN2HEX(RIGHT((LEFT(Z100,12)),4))</f>
        <v>0</v>
      </c>
    </row>
    <row r="104" spans="2:26" ht="13.5" thickBot="1">
      <c r="B104" s="264" t="s">
        <v>17</v>
      </c>
      <c r="C104" s="265" t="str">
        <f t="shared" ref="C104:J104" si="7">HEX2BIN(C103,C102)</f>
        <v>0</v>
      </c>
      <c r="D104" s="265" t="str">
        <f t="shared" si="7"/>
        <v>0001011</v>
      </c>
      <c r="E104" s="265" t="str">
        <f t="shared" si="7"/>
        <v>00</v>
      </c>
      <c r="F104" s="265" t="str">
        <f t="shared" si="7"/>
        <v>001010</v>
      </c>
      <c r="G104" s="265" t="str">
        <f t="shared" si="7"/>
        <v>0</v>
      </c>
      <c r="H104" s="265" t="str">
        <f t="shared" si="7"/>
        <v>0010110</v>
      </c>
      <c r="I104" s="265" t="str">
        <f t="shared" si="7"/>
        <v>00</v>
      </c>
      <c r="J104" s="265" t="str">
        <f t="shared" si="7"/>
        <v>001011</v>
      </c>
      <c r="K104" s="261"/>
      <c r="L104" s="261"/>
      <c r="M104" s="261"/>
      <c r="N104" s="261"/>
      <c r="O104" s="261"/>
      <c r="P104" s="261"/>
      <c r="Q104" s="261"/>
      <c r="R104" s="261"/>
      <c r="S104" s="261"/>
      <c r="T104" s="261"/>
      <c r="U104" s="261"/>
      <c r="V104" s="261"/>
      <c r="W104" s="261"/>
      <c r="X104" s="261"/>
      <c r="Y104" s="261"/>
      <c r="Z104" s="237" t="str">
        <f>BIN2HEX(RIGHT((LEFT(Z100,16)),4))</f>
        <v>A</v>
      </c>
    </row>
    <row r="105" spans="2:26" ht="13.5" thickBot="1">
      <c r="B105" s="266" t="s">
        <v>18</v>
      </c>
      <c r="C105" s="267" t="str">
        <f>CONCATENATE("0x",Z101,Z102,Z103,Z104,Z105,Z106,Z107,Z108)</f>
        <v>0x0B0A160B</v>
      </c>
      <c r="I105" s="278"/>
      <c r="J105" s="278"/>
      <c r="Z105" s="237" t="str">
        <f>BIN2HEX(RIGHT((LEFT(Z100,20)),4))</f>
        <v>1</v>
      </c>
    </row>
    <row r="106" spans="2:26">
      <c r="I106" s="278"/>
      <c r="J106" s="278"/>
      <c r="Z106" s="237" t="str">
        <f>BIN2HEX(RIGHT((LEFT(Z100,24)),4))</f>
        <v>6</v>
      </c>
    </row>
    <row r="107" spans="2:26">
      <c r="I107" s="278"/>
      <c r="J107" s="278"/>
      <c r="Z107" s="237" t="str">
        <f>BIN2HEX(RIGHT((LEFT(Z100,28)),4))</f>
        <v>0</v>
      </c>
    </row>
    <row r="108" spans="2:26">
      <c r="Z108" s="237" t="str">
        <f>BIN2HEX(RIGHT((LEFT(Z100,33)),4))</f>
        <v>B</v>
      </c>
    </row>
    <row r="109" spans="2:26">
      <c r="Z109" s="248" t="s">
        <v>328</v>
      </c>
    </row>
    <row r="110" spans="2:26" ht="13.5" thickBot="1">
      <c r="Z110" s="237" t="str">
        <f>CONCATENATE(C115,D115,E115,F115,G115,H115)</f>
        <v>00000000000000100000001100010000</v>
      </c>
    </row>
    <row r="111" spans="2:26" ht="13.5" thickBot="1">
      <c r="B111" s="245" t="s">
        <v>870</v>
      </c>
      <c r="C111" s="246"/>
      <c r="D111" s="246"/>
      <c r="E111" s="246"/>
      <c r="F111" s="246"/>
      <c r="G111" s="246"/>
      <c r="H111" s="246"/>
      <c r="I111" s="276"/>
      <c r="J111" s="276"/>
      <c r="K111" s="276"/>
      <c r="L111" s="276"/>
      <c r="M111" s="276"/>
      <c r="N111" s="276"/>
      <c r="O111" s="276"/>
      <c r="P111" s="248"/>
      <c r="Q111" s="248"/>
      <c r="R111" s="248"/>
      <c r="S111" s="248"/>
      <c r="T111" s="248"/>
      <c r="U111" s="248"/>
      <c r="V111" s="248"/>
      <c r="W111" s="248"/>
      <c r="X111" s="248"/>
      <c r="Y111" s="248"/>
      <c r="Z111" s="237" t="str">
        <f>BIN2HEX(RIGHT((LEFT(Z110,4)),4))</f>
        <v>0</v>
      </c>
    </row>
    <row r="112" spans="2:26" ht="13.5" thickTop="1">
      <c r="B112" s="249"/>
      <c r="C112" s="268" t="s">
        <v>345</v>
      </c>
      <c r="D112" s="251" t="s">
        <v>346</v>
      </c>
      <c r="E112" s="251" t="s">
        <v>236</v>
      </c>
      <c r="F112" s="251" t="s">
        <v>347</v>
      </c>
      <c r="G112" s="251" t="s">
        <v>349</v>
      </c>
      <c r="H112" s="251" t="s">
        <v>348</v>
      </c>
      <c r="I112" s="271"/>
      <c r="J112" s="271"/>
      <c r="K112" s="271"/>
      <c r="L112" s="271"/>
      <c r="M112" s="271"/>
      <c r="N112" s="271"/>
      <c r="O112" s="271"/>
      <c r="P112" s="272"/>
      <c r="Q112" s="272"/>
      <c r="R112" s="272"/>
      <c r="S112" s="272"/>
      <c r="T112" s="272"/>
      <c r="U112" s="272"/>
      <c r="V112" s="272"/>
      <c r="W112" s="272"/>
      <c r="X112" s="272"/>
      <c r="Y112" s="272"/>
      <c r="Z112" s="237" t="str">
        <f>BIN2HEX(RIGHT((LEFT(Z110,8)),4))</f>
        <v>0</v>
      </c>
    </row>
    <row r="113" spans="2:26">
      <c r="B113" s="255" t="s">
        <v>189</v>
      </c>
      <c r="C113" s="256">
        <v>11</v>
      </c>
      <c r="D113" s="257">
        <v>5</v>
      </c>
      <c r="E113" s="257">
        <v>2</v>
      </c>
      <c r="F113" s="257">
        <v>6</v>
      </c>
      <c r="G113" s="257">
        <v>1</v>
      </c>
      <c r="H113" s="257">
        <v>7</v>
      </c>
      <c r="I113" s="274"/>
      <c r="J113" s="274"/>
      <c r="K113" s="274"/>
      <c r="L113" s="274"/>
      <c r="M113" s="274"/>
      <c r="N113" s="274"/>
      <c r="O113" s="274"/>
      <c r="P113" s="272"/>
      <c r="Q113" s="272"/>
      <c r="R113" s="272"/>
      <c r="S113" s="272"/>
      <c r="T113" s="272"/>
      <c r="U113" s="272"/>
      <c r="V113" s="272"/>
      <c r="W113" s="272"/>
      <c r="X113" s="272"/>
      <c r="Y113" s="272"/>
      <c r="Z113" s="237" t="str">
        <f>BIN2HEX(RIGHT((LEFT(Z110,12)),4))</f>
        <v>0</v>
      </c>
    </row>
    <row r="114" spans="2:26">
      <c r="B114" s="262" t="s">
        <v>16</v>
      </c>
      <c r="C114" s="263">
        <v>0</v>
      </c>
      <c r="D114" s="259" t="str">
        <f>IF(Memory_Type="LPDDR4",DEC2HEX(CEILING(MAX(tXP,tCKELPD)/tCK/2,1)),DEC2HEX(CEILING(tXP/tCK/2,1)))</f>
        <v>2</v>
      </c>
      <c r="E114" s="259">
        <v>0</v>
      </c>
      <c r="F114" s="259" t="str">
        <f>IF(Memory_Type="DDR4",DEC2HEX(TRUNC(MAX(AL+MAX(tRTP/tCK,4),RL+(BL/2)-(tRP/tCK))/2,1)),IF(Memory_Type="LPDDR4",DEC2HEX(CEILING((BL/2+MAX(tRTP/tCK,8)-8)/2,1),1),DEC2HEX(TRUNC((AL+MAX(tRTP/tCK,4))/2,1))))</f>
        <v>3</v>
      </c>
      <c r="G114" s="259">
        <v>0</v>
      </c>
      <c r="H114" s="259" t="str">
        <f>DEC2HEX(CEILING(tRC/tCK/2,1))</f>
        <v>10</v>
      </c>
      <c r="I114" s="261"/>
      <c r="J114" s="261"/>
      <c r="K114" s="261"/>
      <c r="L114" s="261"/>
      <c r="M114" s="261"/>
      <c r="N114" s="261"/>
      <c r="O114" s="261"/>
      <c r="P114" s="261"/>
      <c r="Q114" s="261"/>
      <c r="R114" s="261"/>
      <c r="S114" s="261"/>
      <c r="T114" s="261"/>
      <c r="U114" s="261"/>
      <c r="V114" s="261"/>
      <c r="W114" s="261"/>
      <c r="X114" s="261"/>
      <c r="Y114" s="261"/>
      <c r="Z114" s="237" t="str">
        <f>BIN2HEX(RIGHT((LEFT(Z110,16)),4))</f>
        <v>2</v>
      </c>
    </row>
    <row r="115" spans="2:26" ht="13.5" thickBot="1">
      <c r="B115" s="264" t="s">
        <v>17</v>
      </c>
      <c r="C115" s="277" t="s">
        <v>254</v>
      </c>
      <c r="D115" s="265" t="str">
        <f>HEX2BIN(D114,D113)</f>
        <v>00010</v>
      </c>
      <c r="E115" s="265" t="str">
        <f>HEX2BIN(E114,E113)</f>
        <v>00</v>
      </c>
      <c r="F115" s="265" t="str">
        <f>HEX2BIN(F114,F113)</f>
        <v>000011</v>
      </c>
      <c r="G115" s="265" t="str">
        <f>HEX2BIN(G114,G113)</f>
        <v>0</v>
      </c>
      <c r="H115" s="265" t="str">
        <f>HEX2BIN(H114,H113)</f>
        <v>0010000</v>
      </c>
      <c r="I115" s="261"/>
      <c r="J115" s="261"/>
      <c r="K115" s="261"/>
      <c r="L115" s="261"/>
      <c r="M115" s="261"/>
      <c r="N115" s="261"/>
      <c r="O115" s="261"/>
      <c r="P115" s="261"/>
      <c r="Q115" s="261"/>
      <c r="R115" s="261"/>
      <c r="S115" s="261"/>
      <c r="T115" s="261"/>
      <c r="U115" s="261"/>
      <c r="V115" s="261"/>
      <c r="W115" s="261"/>
      <c r="X115" s="261"/>
      <c r="Y115" s="261"/>
      <c r="Z115" s="237" t="str">
        <f>BIN2HEX(RIGHT((LEFT(Z110,20)),4))</f>
        <v>0</v>
      </c>
    </row>
    <row r="116" spans="2:26" ht="13.5" thickBot="1">
      <c r="B116" s="266" t="s">
        <v>18</v>
      </c>
      <c r="C116" s="267" t="str">
        <f>CONCATENATE("0x",Z111,Z112,Z113,Z114,Z115,Z116,Z117,Z118)</f>
        <v>0x00020310</v>
      </c>
      <c r="I116" s="278"/>
      <c r="J116" s="278"/>
      <c r="Z116" s="237" t="str">
        <f>BIN2HEX(RIGHT((LEFT(Z110,24)),4))</f>
        <v>3</v>
      </c>
    </row>
    <row r="117" spans="2:26">
      <c r="I117" s="278"/>
      <c r="J117" s="278"/>
      <c r="Z117" s="237" t="str">
        <f>BIN2HEX(RIGHT((LEFT(Z110,28)),4))</f>
        <v>1</v>
      </c>
    </row>
    <row r="118" spans="2:26">
      <c r="I118" s="278"/>
      <c r="J118" s="278"/>
      <c r="Z118" s="237" t="str">
        <f>BIN2HEX(RIGHT((LEFT(Z110,33)),4))</f>
        <v>0</v>
      </c>
    </row>
    <row r="120" spans="2:26">
      <c r="Z120" s="248" t="s">
        <v>321</v>
      </c>
    </row>
    <row r="121" spans="2:26" ht="13.5" thickBot="1">
      <c r="Z121" s="237" t="str">
        <f>CONCATENATE(C126,D126,E126,F126,G126,H126,I126,J126)</f>
        <v>00000101000001100000010100001001</v>
      </c>
    </row>
    <row r="122" spans="2:26" ht="13.5" thickBot="1">
      <c r="B122" s="245" t="s">
        <v>871</v>
      </c>
      <c r="C122" s="246"/>
      <c r="D122" s="246"/>
      <c r="E122" s="246"/>
      <c r="F122" s="246"/>
      <c r="G122" s="246"/>
      <c r="H122" s="246"/>
      <c r="I122" s="246"/>
      <c r="J122" s="246"/>
      <c r="K122" s="276"/>
      <c r="L122" s="276"/>
      <c r="M122" s="276"/>
      <c r="N122" s="276"/>
      <c r="O122" s="276"/>
      <c r="P122" s="248"/>
      <c r="Q122" s="248"/>
      <c r="R122" s="248"/>
      <c r="S122" s="248"/>
      <c r="T122" s="248"/>
      <c r="U122" s="248"/>
      <c r="V122" s="248"/>
      <c r="W122" s="248"/>
      <c r="X122" s="248"/>
      <c r="Y122" s="248"/>
      <c r="Z122" s="237" t="str">
        <f>BIN2HEX(RIGHT((LEFT(Z121,4)),4))</f>
        <v>0</v>
      </c>
    </row>
    <row r="123" spans="2:26" ht="13.5" thickTop="1">
      <c r="B123" s="249"/>
      <c r="C123" s="268" t="s">
        <v>88</v>
      </c>
      <c r="D123" s="251" t="s">
        <v>322</v>
      </c>
      <c r="E123" s="251" t="s">
        <v>323</v>
      </c>
      <c r="F123" s="251" t="s">
        <v>324</v>
      </c>
      <c r="G123" s="251" t="s">
        <v>325</v>
      </c>
      <c r="H123" s="251" t="s">
        <v>326</v>
      </c>
      <c r="I123" s="251" t="s">
        <v>187</v>
      </c>
      <c r="J123" s="251" t="s">
        <v>327</v>
      </c>
      <c r="K123" s="271"/>
      <c r="L123" s="271"/>
      <c r="M123" s="271"/>
      <c r="N123" s="271"/>
      <c r="O123" s="271"/>
      <c r="P123" s="272"/>
      <c r="Q123" s="272"/>
      <c r="R123" s="272"/>
      <c r="S123" s="272"/>
      <c r="T123" s="272"/>
      <c r="U123" s="272"/>
      <c r="V123" s="272"/>
      <c r="W123" s="272"/>
      <c r="X123" s="272"/>
      <c r="Y123" s="272"/>
      <c r="Z123" s="237" t="str">
        <f>BIN2HEX(RIGHT((LEFT(Z121,8)),4))</f>
        <v>5</v>
      </c>
    </row>
    <row r="124" spans="2:26">
      <c r="B124" s="255" t="s">
        <v>189</v>
      </c>
      <c r="C124" s="256">
        <v>2</v>
      </c>
      <c r="D124" s="257">
        <v>6</v>
      </c>
      <c r="E124" s="257">
        <v>2</v>
      </c>
      <c r="F124" s="257">
        <v>6</v>
      </c>
      <c r="G124" s="257">
        <v>2</v>
      </c>
      <c r="H124" s="257">
        <v>6</v>
      </c>
      <c r="I124" s="257">
        <v>2</v>
      </c>
      <c r="J124" s="257">
        <v>6</v>
      </c>
      <c r="K124" s="274"/>
      <c r="L124" s="274"/>
      <c r="M124" s="274"/>
      <c r="N124" s="274"/>
      <c r="O124" s="274"/>
      <c r="P124" s="272"/>
      <c r="Q124" s="272"/>
      <c r="R124" s="272"/>
      <c r="S124" s="272"/>
      <c r="T124" s="272"/>
      <c r="U124" s="272"/>
      <c r="V124" s="272"/>
      <c r="W124" s="272"/>
      <c r="X124" s="272"/>
      <c r="Y124" s="272"/>
      <c r="Z124" s="237" t="str">
        <f>BIN2HEX(RIGHT((LEFT(Z121,12)),4))</f>
        <v>0</v>
      </c>
    </row>
    <row r="125" spans="2:26">
      <c r="B125" s="262" t="s">
        <v>16</v>
      </c>
      <c r="C125" s="263">
        <v>0</v>
      </c>
      <c r="D125" s="259" t="str">
        <f>DEC2HEX(CEILING(WL/2,1))</f>
        <v>5</v>
      </c>
      <c r="E125" s="259">
        <v>0</v>
      </c>
      <c r="F125" s="259" t="str">
        <f>DEC2HEX(CEILING(RL/2,1))</f>
        <v>6</v>
      </c>
      <c r="G125" s="259">
        <v>0</v>
      </c>
      <c r="H125" s="275" t="str">
        <f>IF(Memory_Type="DDR4",DEC2HEX(CEILING((RL+BL/2+1+tWPRE/tCK-WL)/2,1)),IF(Memory_Type="DDR3L",DEC2HEX(CEILING((RL+BL/2+2-WL)/2,1)),DEC2HEX(CEILING((RL+BL/2+CEILING(tDQSCKmax/tCK,1) + tRPST/tCK-ODTLon/tCK-CEILING(tODTon_min/tCK,1))/2,1))))</f>
        <v>5</v>
      </c>
      <c r="I125" s="259">
        <v>0</v>
      </c>
      <c r="J125" s="275" t="str">
        <f>IF(Memory_Type="DDR4",DEC2HEX(CEILING((CWL+PL+BL/2+tWTR_L/tCK)/2,1)),IF(Memory_Type="DDR3L",DEC2HEX(CEILING((CWL+BL/2+tWTR_L/tCK)/2,1)),DEC2HEX(CEILING((WL+BL/2+tWTR_L/tCK+1)/2,1))))</f>
        <v>9</v>
      </c>
      <c r="K125" s="261"/>
      <c r="L125" s="261"/>
      <c r="M125" s="261"/>
      <c r="N125" s="261"/>
      <c r="O125" s="261"/>
      <c r="P125" s="261"/>
      <c r="Q125" s="261"/>
      <c r="R125" s="261"/>
      <c r="S125" s="261"/>
      <c r="T125" s="261"/>
      <c r="U125" s="261"/>
      <c r="V125" s="261"/>
      <c r="W125" s="261"/>
      <c r="X125" s="261"/>
      <c r="Y125" s="261"/>
      <c r="Z125" s="237" t="str">
        <f>BIN2HEX(RIGHT((LEFT(Z121,16)),4))</f>
        <v>6</v>
      </c>
    </row>
    <row r="126" spans="2:26" ht="13.5" thickBot="1">
      <c r="B126" s="264" t="s">
        <v>17</v>
      </c>
      <c r="C126" s="265" t="str">
        <f t="shared" ref="C126:J126" si="8">HEX2BIN(C125,C124)</f>
        <v>00</v>
      </c>
      <c r="D126" s="265" t="str">
        <f t="shared" si="8"/>
        <v>000101</v>
      </c>
      <c r="E126" s="265" t="str">
        <f t="shared" si="8"/>
        <v>00</v>
      </c>
      <c r="F126" s="265" t="str">
        <f t="shared" si="8"/>
        <v>000110</v>
      </c>
      <c r="G126" s="265" t="str">
        <f t="shared" si="8"/>
        <v>00</v>
      </c>
      <c r="H126" s="265" t="str">
        <f t="shared" si="8"/>
        <v>000101</v>
      </c>
      <c r="I126" s="265" t="str">
        <f t="shared" si="8"/>
        <v>00</v>
      </c>
      <c r="J126" s="265" t="str">
        <f t="shared" si="8"/>
        <v>001001</v>
      </c>
      <c r="K126" s="261"/>
      <c r="L126" s="261"/>
      <c r="M126" s="261"/>
      <c r="N126" s="261"/>
      <c r="O126" s="261"/>
      <c r="P126" s="261"/>
      <c r="Q126" s="261"/>
      <c r="R126" s="261"/>
      <c r="S126" s="261"/>
      <c r="T126" s="261"/>
      <c r="U126" s="261"/>
      <c r="V126" s="261"/>
      <c r="W126" s="261"/>
      <c r="X126" s="261"/>
      <c r="Y126" s="261"/>
      <c r="Z126" s="237" t="str">
        <f>BIN2HEX(RIGHT((LEFT(Z121,20)),4))</f>
        <v>0</v>
      </c>
    </row>
    <row r="127" spans="2:26" ht="13.5" thickBot="1">
      <c r="B127" s="266" t="s">
        <v>18</v>
      </c>
      <c r="C127" s="267" t="str">
        <f>CONCATENATE("0x",Z122,Z123,Z124,Z125,Z126,Z127,Z128,Z129)</f>
        <v>0x05060509</v>
      </c>
      <c r="I127" s="278"/>
      <c r="J127" s="278"/>
      <c r="Z127" s="237" t="str">
        <f>BIN2HEX(RIGHT((LEFT(Z121,24)),4))</f>
        <v>5</v>
      </c>
    </row>
    <row r="128" spans="2:26">
      <c r="I128" s="278"/>
      <c r="J128" s="278"/>
      <c r="Z128" s="237" t="str">
        <f>BIN2HEX(RIGHT((LEFT(Z121,28)),4))</f>
        <v>0</v>
      </c>
    </row>
    <row r="129" spans="2:26">
      <c r="I129" s="278"/>
      <c r="J129" s="278"/>
      <c r="Z129" s="237" t="str">
        <f>BIN2HEX(RIGHT((LEFT(Z121,33)),4))</f>
        <v>9</v>
      </c>
    </row>
    <row r="131" spans="2:26">
      <c r="Z131" s="248" t="s">
        <v>329</v>
      </c>
    </row>
    <row r="132" spans="2:26" ht="13.5" thickBot="1">
      <c r="Z132" s="237" t="str">
        <f>CONCATENATE(C137,D137,E137,F137,G137,H137)</f>
        <v>00000000000000000100000000001100</v>
      </c>
    </row>
    <row r="133" spans="2:26" ht="13.5" thickBot="1">
      <c r="B133" s="245" t="s">
        <v>872</v>
      </c>
      <c r="C133" s="246"/>
      <c r="D133" s="246"/>
      <c r="E133" s="246"/>
      <c r="F133" s="246"/>
      <c r="G133" s="246"/>
      <c r="H133" s="246"/>
      <c r="I133" s="276"/>
      <c r="J133" s="276"/>
      <c r="K133" s="276"/>
      <c r="L133" s="276"/>
      <c r="M133" s="276"/>
      <c r="N133" s="276"/>
      <c r="O133" s="276"/>
      <c r="P133" s="248"/>
      <c r="Q133" s="248"/>
      <c r="R133" s="248"/>
      <c r="S133" s="248"/>
      <c r="T133" s="248"/>
      <c r="U133" s="248"/>
      <c r="V133" s="248"/>
      <c r="W133" s="248"/>
      <c r="X133" s="248"/>
      <c r="Y133" s="248"/>
      <c r="Z133" s="237" t="str">
        <f>BIN2HEX(RIGHT((LEFT(Z132,4)),4))</f>
        <v>0</v>
      </c>
    </row>
    <row r="134" spans="2:26" ht="13.5" thickTop="1">
      <c r="B134" s="249"/>
      <c r="C134" s="268" t="s">
        <v>88</v>
      </c>
      <c r="D134" s="251" t="s">
        <v>363</v>
      </c>
      <c r="E134" s="251" t="s">
        <v>364</v>
      </c>
      <c r="F134" s="251" t="s">
        <v>365</v>
      </c>
      <c r="G134" s="251" t="s">
        <v>366</v>
      </c>
      <c r="H134" s="251" t="s">
        <v>367</v>
      </c>
      <c r="I134" s="271"/>
      <c r="J134" s="271"/>
      <c r="K134" s="271"/>
      <c r="L134" s="271"/>
      <c r="M134" s="271"/>
      <c r="N134" s="271"/>
      <c r="O134" s="271"/>
      <c r="P134" s="272"/>
      <c r="Q134" s="272"/>
      <c r="R134" s="272"/>
      <c r="S134" s="272"/>
      <c r="T134" s="272"/>
      <c r="U134" s="272"/>
      <c r="V134" s="272"/>
      <c r="W134" s="272"/>
      <c r="X134" s="272"/>
      <c r="Y134" s="272"/>
      <c r="Z134" s="237" t="str">
        <f>BIN2HEX(RIGHT((LEFT(Z132,8)),4))</f>
        <v>0</v>
      </c>
    </row>
    <row r="135" spans="2:26">
      <c r="B135" s="255" t="s">
        <v>189</v>
      </c>
      <c r="C135" s="256">
        <v>2</v>
      </c>
      <c r="D135" s="257">
        <v>10</v>
      </c>
      <c r="E135" s="257">
        <v>2</v>
      </c>
      <c r="F135" s="257">
        <v>6</v>
      </c>
      <c r="G135" s="257">
        <v>2</v>
      </c>
      <c r="H135" s="257">
        <v>10</v>
      </c>
      <c r="I135" s="274"/>
      <c r="J135" s="274"/>
      <c r="K135" s="274"/>
      <c r="L135" s="274"/>
      <c r="M135" s="274"/>
      <c r="N135" s="274"/>
      <c r="O135" s="274"/>
      <c r="P135" s="272"/>
      <c r="Q135" s="272"/>
      <c r="R135" s="272"/>
      <c r="S135" s="272"/>
      <c r="T135" s="272"/>
      <c r="U135" s="272"/>
      <c r="V135" s="272"/>
      <c r="W135" s="272"/>
      <c r="X135" s="272"/>
      <c r="Y135" s="272"/>
      <c r="Z135" s="237" t="str">
        <f>BIN2HEX(RIGHT((LEFT(Z132,12)),4))</f>
        <v>0</v>
      </c>
    </row>
    <row r="136" spans="2:26">
      <c r="B136" s="262" t="s">
        <v>16</v>
      </c>
      <c r="C136" s="263">
        <v>0</v>
      </c>
      <c r="D136" s="259">
        <f>IF(Memory_Type="LPDDR4",DEC2HEX(CEILING(MAX(tMRW,tMRWCKEL)/tCK/2,1)),0)</f>
        <v>0</v>
      </c>
      <c r="E136" s="259">
        <v>0</v>
      </c>
      <c r="F136" s="259" t="str">
        <f>IF(Memory_Type="LPDDR4",DEC2HEX(CEILING(tMRD/tCK/2,1)),DEC2HEX(IF(PL&gt;0,CEILING(((tMOD/tCK)+PL)/2,1),CEILING(tMRD/tCK/2,1))))</f>
        <v>4</v>
      </c>
      <c r="G136" s="259">
        <v>0</v>
      </c>
      <c r="H136" s="259" t="str">
        <f>IF(Memory_Type="LPDDR4",0,DEC2HEX(IF(PL&gt;0,CEILING(((tMOD/tCK)+PL+AL)/2,1),CEILING((tMOD/tCK+AL)/2,1))))</f>
        <v>C</v>
      </c>
      <c r="I136" s="261"/>
      <c r="J136" s="261"/>
      <c r="K136" s="261"/>
      <c r="L136" s="261"/>
      <c r="M136" s="261"/>
      <c r="N136" s="261"/>
      <c r="O136" s="261"/>
      <c r="P136" s="261"/>
      <c r="Q136" s="261"/>
      <c r="R136" s="261"/>
      <c r="S136" s="261"/>
      <c r="T136" s="261"/>
      <c r="U136" s="261"/>
      <c r="V136" s="261"/>
      <c r="W136" s="261"/>
      <c r="X136" s="261"/>
      <c r="Y136" s="261"/>
      <c r="Z136" s="237" t="str">
        <f>BIN2HEX(RIGHT((LEFT(Z132,16)),4))</f>
        <v>0</v>
      </c>
    </row>
    <row r="137" spans="2:26" ht="13.5" thickBot="1">
      <c r="B137" s="264" t="s">
        <v>17</v>
      </c>
      <c r="C137" s="265" t="str">
        <f t="shared" ref="C137:H137" si="9">HEX2BIN(C136,C135)</f>
        <v>00</v>
      </c>
      <c r="D137" s="265" t="str">
        <f t="shared" si="9"/>
        <v>0000000000</v>
      </c>
      <c r="E137" s="265" t="str">
        <f t="shared" si="9"/>
        <v>00</v>
      </c>
      <c r="F137" s="265" t="str">
        <f t="shared" si="9"/>
        <v>000100</v>
      </c>
      <c r="G137" s="265" t="str">
        <f t="shared" si="9"/>
        <v>00</v>
      </c>
      <c r="H137" s="265" t="str">
        <f t="shared" si="9"/>
        <v>0000001100</v>
      </c>
      <c r="I137" s="261"/>
      <c r="J137" s="261"/>
      <c r="K137" s="261"/>
      <c r="L137" s="261"/>
      <c r="M137" s="261"/>
      <c r="N137" s="261"/>
      <c r="O137" s="261"/>
      <c r="P137" s="261"/>
      <c r="Q137" s="261"/>
      <c r="R137" s="261"/>
      <c r="S137" s="261"/>
      <c r="T137" s="261"/>
      <c r="U137" s="261"/>
      <c r="V137" s="261"/>
      <c r="W137" s="261"/>
      <c r="X137" s="261"/>
      <c r="Y137" s="261"/>
      <c r="Z137" s="237" t="str">
        <f>BIN2HEX(RIGHT((LEFT(Z132,20)),4))</f>
        <v>4</v>
      </c>
    </row>
    <row r="138" spans="2:26" ht="13.5" thickBot="1">
      <c r="B138" s="266" t="s">
        <v>18</v>
      </c>
      <c r="C138" s="267" t="str">
        <f>CONCATENATE("0x",Z133,Z134,Z135,Z136,Z137,Z138,Z139,Z140)</f>
        <v>0x0000400C</v>
      </c>
      <c r="I138" s="278"/>
      <c r="J138" s="278"/>
      <c r="Z138" s="237" t="str">
        <f>BIN2HEX(RIGHT((LEFT(Z132,24)),4))</f>
        <v>0</v>
      </c>
    </row>
    <row r="139" spans="2:26">
      <c r="I139" s="278"/>
      <c r="J139" s="278"/>
      <c r="Z139" s="237" t="str">
        <f>BIN2HEX(RIGHT((LEFT(Z132,28)),4))</f>
        <v>0</v>
      </c>
    </row>
    <row r="140" spans="2:26">
      <c r="I140" s="278"/>
      <c r="J140" s="278"/>
      <c r="Z140" s="237" t="str">
        <f>BIN2HEX(RIGHT((LEFT(Z132,33)),4))</f>
        <v>C</v>
      </c>
    </row>
    <row r="142" spans="2:26">
      <c r="Z142" s="248" t="s">
        <v>330</v>
      </c>
    </row>
    <row r="143" spans="2:26" ht="13.5" thickBot="1">
      <c r="Z143" s="237" t="str">
        <f>CONCATENATE(C148,D148,E148,F148,G148,H148,I148,J148)</f>
        <v>00000101000000100000001000000101</v>
      </c>
    </row>
    <row r="144" spans="2:26" ht="13.5" thickBot="1">
      <c r="B144" s="245" t="s">
        <v>873</v>
      </c>
      <c r="C144" s="246"/>
      <c r="D144" s="246"/>
      <c r="E144" s="246"/>
      <c r="F144" s="246"/>
      <c r="G144" s="246"/>
      <c r="H144" s="246"/>
      <c r="I144" s="246"/>
      <c r="J144" s="246"/>
      <c r="K144" s="276"/>
      <c r="L144" s="276"/>
      <c r="M144" s="276"/>
      <c r="N144" s="276"/>
      <c r="O144" s="276"/>
      <c r="P144" s="248"/>
      <c r="Q144" s="248"/>
      <c r="R144" s="248"/>
      <c r="S144" s="248"/>
      <c r="T144" s="248"/>
      <c r="U144" s="248"/>
      <c r="V144" s="248"/>
      <c r="W144" s="248"/>
      <c r="X144" s="248"/>
      <c r="Y144" s="248"/>
      <c r="Z144" s="237" t="str">
        <f>BIN2HEX(RIGHT((LEFT(Z143,4)),4))</f>
        <v>0</v>
      </c>
    </row>
    <row r="145" spans="2:26" ht="13.5" thickTop="1">
      <c r="B145" s="249"/>
      <c r="C145" s="268" t="s">
        <v>180</v>
      </c>
      <c r="D145" s="251" t="s">
        <v>368</v>
      </c>
      <c r="E145" s="251" t="s">
        <v>369</v>
      </c>
      <c r="F145" s="251" t="s">
        <v>370</v>
      </c>
      <c r="G145" s="251" t="s">
        <v>359</v>
      </c>
      <c r="H145" s="251" t="s">
        <v>371</v>
      </c>
      <c r="I145" s="251" t="s">
        <v>196</v>
      </c>
      <c r="J145" s="251" t="s">
        <v>372</v>
      </c>
      <c r="K145" s="271"/>
      <c r="L145" s="271"/>
      <c r="M145" s="271"/>
      <c r="N145" s="271"/>
      <c r="O145" s="271"/>
      <c r="P145" s="272"/>
      <c r="Q145" s="272"/>
      <c r="R145" s="272"/>
      <c r="S145" s="272"/>
      <c r="T145" s="272"/>
      <c r="U145" s="272"/>
      <c r="V145" s="272"/>
      <c r="W145" s="272"/>
      <c r="X145" s="272"/>
      <c r="Y145" s="272"/>
      <c r="Z145" s="237" t="str">
        <f>BIN2HEX(RIGHT((LEFT(Z143,8)),4))</f>
        <v>5</v>
      </c>
    </row>
    <row r="146" spans="2:26">
      <c r="B146" s="255" t="s">
        <v>189</v>
      </c>
      <c r="C146" s="256">
        <v>3</v>
      </c>
      <c r="D146" s="257">
        <v>5</v>
      </c>
      <c r="E146" s="257">
        <v>4</v>
      </c>
      <c r="F146" s="257">
        <v>4</v>
      </c>
      <c r="G146" s="257">
        <v>4</v>
      </c>
      <c r="H146" s="257">
        <v>4</v>
      </c>
      <c r="I146" s="257">
        <v>3</v>
      </c>
      <c r="J146" s="257">
        <v>5</v>
      </c>
      <c r="K146" s="274"/>
      <c r="L146" s="274"/>
      <c r="M146" s="274"/>
      <c r="N146" s="274"/>
      <c r="O146" s="274"/>
      <c r="P146" s="272"/>
      <c r="Q146" s="272"/>
      <c r="R146" s="272"/>
      <c r="S146" s="272"/>
      <c r="T146" s="272"/>
      <c r="U146" s="272"/>
      <c r="V146" s="272"/>
      <c r="W146" s="272"/>
      <c r="X146" s="272"/>
      <c r="Y146" s="272"/>
      <c r="Z146" s="237" t="str">
        <f>BIN2HEX(RIGHT((LEFT(Z143,12)),4))</f>
        <v>0</v>
      </c>
    </row>
    <row r="147" spans="2:26">
      <c r="B147" s="262" t="s">
        <v>16</v>
      </c>
      <c r="C147" s="263">
        <v>0</v>
      </c>
      <c r="D147" s="259" t="str">
        <f>DEC2HEX(CEILING((tRCD/tCK-AL)/2,1))</f>
        <v>5</v>
      </c>
      <c r="E147" s="259">
        <v>0</v>
      </c>
      <c r="F147" s="259" t="str">
        <f>DEC2HEX(CEILING(tCCD_L/tCK/2,1))</f>
        <v>2</v>
      </c>
      <c r="G147" s="259">
        <v>0</v>
      </c>
      <c r="H147" s="259" t="str">
        <f>DEC2HEX(CEILING(tRRD_L/tCK/2,1))</f>
        <v>2</v>
      </c>
      <c r="I147" s="259">
        <v>0</v>
      </c>
      <c r="J147" s="259" t="str">
        <f>IF(Memory_Type="LPDDR4",DEC2HEX( ROUNDUP(ROUNDUP(tRP/tCK,0)/2,0)),DEC2HEX( ROUNDDOWN(ROUNDUP(tRP/tCK,0)/2,0)+1))</f>
        <v>5</v>
      </c>
      <c r="K147" s="261"/>
      <c r="L147" s="261"/>
      <c r="M147" s="261"/>
      <c r="N147" s="261"/>
      <c r="O147" s="261"/>
      <c r="P147" s="261"/>
      <c r="Q147" s="261"/>
      <c r="R147" s="261"/>
      <c r="S147" s="261"/>
      <c r="T147" s="261"/>
      <c r="U147" s="261"/>
      <c r="V147" s="261"/>
      <c r="W147" s="261"/>
      <c r="X147" s="261"/>
      <c r="Y147" s="261"/>
      <c r="Z147" s="237" t="str">
        <f>BIN2HEX(RIGHT((LEFT(Z143,16)),4))</f>
        <v>2</v>
      </c>
    </row>
    <row r="148" spans="2:26" ht="13.5" thickBot="1">
      <c r="B148" s="264" t="s">
        <v>17</v>
      </c>
      <c r="C148" s="265" t="str">
        <f t="shared" ref="C148:J148" si="10">HEX2BIN(C147,C146)</f>
        <v>000</v>
      </c>
      <c r="D148" s="265" t="str">
        <f t="shared" si="10"/>
        <v>00101</v>
      </c>
      <c r="E148" s="265" t="str">
        <f t="shared" si="10"/>
        <v>0000</v>
      </c>
      <c r="F148" s="265" t="str">
        <f t="shared" si="10"/>
        <v>0010</v>
      </c>
      <c r="G148" s="265" t="str">
        <f t="shared" si="10"/>
        <v>0000</v>
      </c>
      <c r="H148" s="265" t="str">
        <f t="shared" si="10"/>
        <v>0010</v>
      </c>
      <c r="I148" s="265" t="str">
        <f t="shared" si="10"/>
        <v>000</v>
      </c>
      <c r="J148" s="265" t="str">
        <f t="shared" si="10"/>
        <v>00101</v>
      </c>
      <c r="K148" s="261"/>
      <c r="L148" s="261"/>
      <c r="M148" s="261"/>
      <c r="N148" s="261"/>
      <c r="O148" s="261"/>
      <c r="P148" s="261"/>
      <c r="Q148" s="261"/>
      <c r="R148" s="261"/>
      <c r="S148" s="261"/>
      <c r="T148" s="261"/>
      <c r="U148" s="261"/>
      <c r="V148" s="261"/>
      <c r="W148" s="261"/>
      <c r="X148" s="261"/>
      <c r="Y148" s="261"/>
      <c r="Z148" s="237" t="str">
        <f>BIN2HEX(RIGHT((LEFT(Z143,20)),4))</f>
        <v>0</v>
      </c>
    </row>
    <row r="149" spans="2:26" ht="13.5" thickBot="1">
      <c r="B149" s="266" t="s">
        <v>18</v>
      </c>
      <c r="C149" s="267" t="str">
        <f>CONCATENATE("0x",Z144,Z145,Z146,Z147,Z148,Z149,Z150,Z151)</f>
        <v>0x05020205</v>
      </c>
      <c r="I149" s="278"/>
      <c r="J149" s="278"/>
      <c r="Z149" s="237" t="str">
        <f>BIN2HEX(RIGHT((LEFT(Z143,24)),4))</f>
        <v>2</v>
      </c>
    </row>
    <row r="150" spans="2:26">
      <c r="I150" s="278"/>
      <c r="J150" s="278"/>
      <c r="Z150" s="237" t="str">
        <f>BIN2HEX(RIGHT((LEFT(Z143,28)),4))</f>
        <v>0</v>
      </c>
    </row>
    <row r="151" spans="2:26">
      <c r="I151" s="278"/>
      <c r="J151" s="278"/>
      <c r="Z151" s="237" t="str">
        <f>BIN2HEX(RIGHT((LEFT(Z143,33)),4))</f>
        <v>5</v>
      </c>
    </row>
    <row r="152" spans="2:26">
      <c r="Z152" s="248" t="s">
        <v>351</v>
      </c>
    </row>
    <row r="153" spans="2:26" ht="13.5" thickBot="1">
      <c r="Z153" s="237" t="str">
        <f>CONCATENATE(C158,D158,E158,F158,G158,H158,I158,J158)</f>
        <v>00000100000001000000001100000010</v>
      </c>
    </row>
    <row r="154" spans="2:26" ht="13.5" thickBot="1">
      <c r="B154" s="245" t="s">
        <v>874</v>
      </c>
      <c r="C154" s="246"/>
      <c r="D154" s="246"/>
      <c r="E154" s="246"/>
      <c r="F154" s="246"/>
      <c r="G154" s="246"/>
      <c r="H154" s="246"/>
      <c r="I154" s="246"/>
      <c r="J154" s="246"/>
      <c r="K154" s="276"/>
      <c r="L154" s="276"/>
      <c r="M154" s="276"/>
      <c r="N154" s="276"/>
      <c r="O154" s="276"/>
      <c r="P154" s="248"/>
      <c r="Q154" s="248"/>
      <c r="R154" s="248"/>
      <c r="S154" s="248"/>
      <c r="T154" s="248"/>
      <c r="U154" s="248"/>
      <c r="V154" s="248"/>
      <c r="W154" s="248"/>
      <c r="X154" s="248"/>
      <c r="Y154" s="248"/>
      <c r="Z154" s="237" t="str">
        <f>BIN2HEX(RIGHT((LEFT(Z153,4)),4))</f>
        <v>0</v>
      </c>
    </row>
    <row r="155" spans="2:26" ht="13.5" thickTop="1">
      <c r="B155" s="249"/>
      <c r="C155" s="268" t="s">
        <v>89</v>
      </c>
      <c r="D155" s="251" t="s">
        <v>373</v>
      </c>
      <c r="E155" s="251" t="s">
        <v>369</v>
      </c>
      <c r="F155" s="251" t="s">
        <v>374</v>
      </c>
      <c r="G155" s="251" t="s">
        <v>325</v>
      </c>
      <c r="H155" s="251" t="s">
        <v>375</v>
      </c>
      <c r="I155" s="251" t="s">
        <v>196</v>
      </c>
      <c r="J155" s="251" t="s">
        <v>376</v>
      </c>
      <c r="K155" s="271"/>
      <c r="L155" s="271"/>
      <c r="M155" s="271"/>
      <c r="N155" s="271"/>
      <c r="O155" s="271"/>
      <c r="P155" s="272"/>
      <c r="Q155" s="272"/>
      <c r="R155" s="272"/>
      <c r="S155" s="272"/>
      <c r="T155" s="272"/>
      <c r="U155" s="272"/>
      <c r="V155" s="272"/>
      <c r="W155" s="272"/>
      <c r="X155" s="272"/>
      <c r="Y155" s="272"/>
      <c r="Z155" s="237" t="str">
        <f>BIN2HEX(RIGHT((LEFT(Z153,8)),4))</f>
        <v>4</v>
      </c>
    </row>
    <row r="156" spans="2:26">
      <c r="B156" s="255" t="s">
        <v>189</v>
      </c>
      <c r="C156" s="256">
        <v>4</v>
      </c>
      <c r="D156" s="257">
        <v>4</v>
      </c>
      <c r="E156" s="257">
        <v>4</v>
      </c>
      <c r="F156" s="257">
        <v>4</v>
      </c>
      <c r="G156" s="257">
        <v>2</v>
      </c>
      <c r="H156" s="257">
        <v>6</v>
      </c>
      <c r="I156" s="257">
        <v>3</v>
      </c>
      <c r="J156" s="257">
        <v>5</v>
      </c>
      <c r="K156" s="274"/>
      <c r="L156" s="274"/>
      <c r="M156" s="274"/>
      <c r="N156" s="274"/>
      <c r="O156" s="274"/>
      <c r="P156" s="272"/>
      <c r="Q156" s="272"/>
      <c r="R156" s="272"/>
      <c r="S156" s="272"/>
      <c r="T156" s="272"/>
      <c r="U156" s="272"/>
      <c r="V156" s="272"/>
      <c r="W156" s="272"/>
      <c r="X156" s="272"/>
      <c r="Y156" s="272"/>
      <c r="Z156" s="237" t="str">
        <f>BIN2HEX(RIGHT((LEFT(Z153,12)),4))</f>
        <v>0</v>
      </c>
    </row>
    <row r="157" spans="2:26">
      <c r="B157" s="262" t="s">
        <v>16</v>
      </c>
      <c r="C157" s="263">
        <v>0</v>
      </c>
      <c r="D157" s="259" t="str">
        <f>IF(Memory_Type="LPDDR4",DEC2HEX(CEILING(tCKCKEH/tCK/2,1)),DEC2HEX(CEILING(tCKSRX/tCK/2,1)))</f>
        <v>4</v>
      </c>
      <c r="E157" s="259">
        <v>0</v>
      </c>
      <c r="F157" s="259" t="str">
        <f>IF(Memory_Type="DDR4",DEC2HEX(IF(caparity_disable_before_sr=0,CEILING(((tCKSRE/tCK)+PL)/2,1),CEILING(((tCKSRE/tCK))/2,1))),IF(Memory_Type="DDR3L",DEC2HEX(CEILING(tCKSRE/tCK/2,1)),DEC2HEX(CEILING(tCKELCK/tCK/2,1))))</f>
        <v>4</v>
      </c>
      <c r="G157" s="259">
        <v>0</v>
      </c>
      <c r="H157" s="259" t="str">
        <f>IF(Memory_Type="DDR4",DEC2HEX(IF(caparity_disable_before_sr=0,CEILING(((tCKE/tCK+1)+PL)/2,1),CEILING((tCKE/tCK+1)/2,1))),IF(Memory_Type="DDR3L",CEILING((tCKE/tCK+1)/2,1),CEILING((MAX(tCKE,tSR)/tCK)/2,1)))</f>
        <v>3</v>
      </c>
      <c r="I157" s="259">
        <v>0</v>
      </c>
      <c r="J157" s="259" t="str">
        <f>IF(Memory_Type="LPDDR4",DEC2HEX(CEILING(MAX(tCKE,tSR)/tCK/2,1)),DEC2HEX(CEILING(tCKE/tCK/2,1)))</f>
        <v>2</v>
      </c>
      <c r="K157" s="261"/>
      <c r="L157" s="261"/>
      <c r="M157" s="261"/>
      <c r="N157" s="261"/>
      <c r="O157" s="261"/>
      <c r="P157" s="261"/>
      <c r="Q157" s="261"/>
      <c r="R157" s="261"/>
      <c r="S157" s="261"/>
      <c r="T157" s="261"/>
      <c r="U157" s="261"/>
      <c r="V157" s="261"/>
      <c r="W157" s="261"/>
      <c r="X157" s="261"/>
      <c r="Y157" s="261"/>
      <c r="Z157" s="237" t="str">
        <f>BIN2HEX(RIGHT((LEFT(Z153,16)),4))</f>
        <v>4</v>
      </c>
    </row>
    <row r="158" spans="2:26" ht="13.5" thickBot="1">
      <c r="B158" s="264" t="s">
        <v>17</v>
      </c>
      <c r="C158" s="265" t="str">
        <f t="shared" ref="C158:J158" si="11">HEX2BIN(C157,C156)</f>
        <v>0000</v>
      </c>
      <c r="D158" s="265" t="str">
        <f t="shared" si="11"/>
        <v>0100</v>
      </c>
      <c r="E158" s="265" t="str">
        <f t="shared" si="11"/>
        <v>0000</v>
      </c>
      <c r="F158" s="265" t="str">
        <f t="shared" si="11"/>
        <v>0100</v>
      </c>
      <c r="G158" s="265" t="str">
        <f t="shared" si="11"/>
        <v>00</v>
      </c>
      <c r="H158" s="265" t="str">
        <f t="shared" si="11"/>
        <v>000011</v>
      </c>
      <c r="I158" s="265" t="str">
        <f t="shared" si="11"/>
        <v>000</v>
      </c>
      <c r="J158" s="265" t="str">
        <f t="shared" si="11"/>
        <v>00010</v>
      </c>
      <c r="K158" s="261"/>
      <c r="L158" s="261"/>
      <c r="M158" s="261"/>
      <c r="N158" s="261"/>
      <c r="O158" s="261"/>
      <c r="P158" s="261"/>
      <c r="Q158" s="261"/>
      <c r="R158" s="261"/>
      <c r="S158" s="261"/>
      <c r="T158" s="261"/>
      <c r="U158" s="261"/>
      <c r="V158" s="261"/>
      <c r="W158" s="261"/>
      <c r="X158" s="261"/>
      <c r="Y158" s="261"/>
      <c r="Z158" s="237" t="str">
        <f>BIN2HEX(RIGHT((LEFT(Z153,20)),4))</f>
        <v>0</v>
      </c>
    </row>
    <row r="159" spans="2:26" ht="13.5" thickBot="1">
      <c r="B159" s="266" t="s">
        <v>18</v>
      </c>
      <c r="C159" s="267" t="str">
        <f>CONCATENATE("0x",Z154,Z155,Z156,Z157,Z158,Z159,Z160,Z161)</f>
        <v>0x04040302</v>
      </c>
      <c r="I159" s="278"/>
      <c r="J159" s="278"/>
      <c r="Z159" s="237" t="str">
        <f>BIN2HEX(RIGHT((LEFT(Z153,24)),4))</f>
        <v>3</v>
      </c>
    </row>
    <row r="160" spans="2:26">
      <c r="I160" s="278"/>
      <c r="J160" s="278"/>
      <c r="Z160" s="237" t="str">
        <f>BIN2HEX(RIGHT((LEFT(Z153,28)),4))</f>
        <v>0</v>
      </c>
    </row>
    <row r="161" spans="2:26">
      <c r="I161" s="278"/>
      <c r="J161" s="278"/>
      <c r="Z161" s="237" t="str">
        <f>BIN2HEX(RIGHT((LEFT(Z153,33)),4))</f>
        <v>2</v>
      </c>
    </row>
    <row r="162" spans="2:26">
      <c r="Z162" s="248" t="s">
        <v>352</v>
      </c>
    </row>
    <row r="163" spans="2:26" ht="13.5" thickBot="1">
      <c r="Z163" s="237" t="str">
        <f>CONCATENATE(C168,D168,E168,F168,G168,H168)</f>
        <v>00000000000000000000000000000011</v>
      </c>
    </row>
    <row r="164" spans="2:26" ht="13.5" thickBot="1">
      <c r="B164" s="245" t="s">
        <v>875</v>
      </c>
      <c r="C164" s="246"/>
      <c r="D164" s="246"/>
      <c r="E164" s="246"/>
      <c r="F164" s="246"/>
      <c r="G164" s="246"/>
      <c r="H164" s="246"/>
      <c r="I164" s="276"/>
      <c r="J164" s="276"/>
      <c r="K164" s="276"/>
      <c r="L164" s="276"/>
      <c r="M164" s="276"/>
      <c r="N164" s="276"/>
      <c r="O164" s="276"/>
      <c r="P164" s="248"/>
      <c r="Q164" s="248"/>
      <c r="R164" s="248"/>
      <c r="S164" s="248"/>
      <c r="T164" s="248"/>
      <c r="U164" s="248"/>
      <c r="V164" s="248"/>
      <c r="W164" s="248"/>
      <c r="X164" s="248"/>
      <c r="Y164" s="248"/>
      <c r="Z164" s="237" t="str">
        <f>BIN2HEX(RIGHT((LEFT(Z163,4)),4))</f>
        <v>0</v>
      </c>
    </row>
    <row r="165" spans="2:26" ht="13.5" thickTop="1">
      <c r="B165" s="249"/>
      <c r="C165" s="268" t="s">
        <v>89</v>
      </c>
      <c r="D165" s="251" t="s">
        <v>377</v>
      </c>
      <c r="E165" s="251" t="s">
        <v>369</v>
      </c>
      <c r="F165" s="251" t="s">
        <v>378</v>
      </c>
      <c r="G165" s="251" t="s">
        <v>379</v>
      </c>
      <c r="H165" s="251" t="s">
        <v>380</v>
      </c>
      <c r="I165" s="271"/>
      <c r="J165" s="271"/>
      <c r="K165" s="271"/>
      <c r="L165" s="271"/>
      <c r="M165" s="271"/>
      <c r="N165" s="271"/>
      <c r="O165" s="271"/>
      <c r="P165" s="272"/>
      <c r="Q165" s="272"/>
      <c r="R165" s="272"/>
      <c r="S165" s="272"/>
      <c r="T165" s="272"/>
      <c r="U165" s="272"/>
      <c r="V165" s="272"/>
      <c r="W165" s="272"/>
      <c r="X165" s="272"/>
      <c r="Y165" s="272"/>
      <c r="Z165" s="237" t="str">
        <f>BIN2HEX(RIGHT((LEFT(Z163,8)),4))</f>
        <v>0</v>
      </c>
    </row>
    <row r="166" spans="2:26">
      <c r="B166" s="255" t="s">
        <v>189</v>
      </c>
      <c r="C166" s="256">
        <v>4</v>
      </c>
      <c r="D166" s="257">
        <v>4</v>
      </c>
      <c r="E166" s="257">
        <v>4</v>
      </c>
      <c r="F166" s="257">
        <v>4</v>
      </c>
      <c r="G166" s="257">
        <v>12</v>
      </c>
      <c r="H166" s="257">
        <v>4</v>
      </c>
      <c r="I166" s="274"/>
      <c r="J166" s="274"/>
      <c r="K166" s="274"/>
      <c r="L166" s="274"/>
      <c r="M166" s="274"/>
      <c r="N166" s="274"/>
      <c r="O166" s="274"/>
      <c r="P166" s="272"/>
      <c r="Q166" s="272"/>
      <c r="R166" s="272"/>
      <c r="S166" s="272"/>
      <c r="T166" s="272"/>
      <c r="U166" s="272"/>
      <c r="V166" s="272"/>
      <c r="W166" s="272"/>
      <c r="X166" s="272"/>
      <c r="Y166" s="272"/>
      <c r="Z166" s="237" t="str">
        <f>BIN2HEX(RIGHT((LEFT(Z163,12)),4))</f>
        <v>0</v>
      </c>
    </row>
    <row r="167" spans="2:26">
      <c r="B167" s="262" t="s">
        <v>16</v>
      </c>
      <c r="C167" s="263">
        <v>0</v>
      </c>
      <c r="D167" s="259">
        <v>0</v>
      </c>
      <c r="E167" s="259">
        <v>0</v>
      </c>
      <c r="F167" s="259">
        <v>0</v>
      </c>
      <c r="G167" s="259">
        <v>0</v>
      </c>
      <c r="H167" s="259" t="str">
        <f>DEC2HEX(CEILING((tXP/tCK+2)/2,1))</f>
        <v>3</v>
      </c>
      <c r="I167" s="261"/>
      <c r="J167" s="261"/>
      <c r="K167" s="261"/>
      <c r="L167" s="261"/>
      <c r="M167" s="261"/>
      <c r="N167" s="261"/>
      <c r="O167" s="261"/>
      <c r="P167" s="261"/>
      <c r="Q167" s="261"/>
      <c r="R167" s="261"/>
      <c r="S167" s="261"/>
      <c r="T167" s="261"/>
      <c r="U167" s="261"/>
      <c r="V167" s="261"/>
      <c r="W167" s="261"/>
      <c r="X167" s="261"/>
      <c r="Y167" s="261"/>
      <c r="Z167" s="237" t="str">
        <f>BIN2HEX(RIGHT((LEFT(Z163,16)),4))</f>
        <v>0</v>
      </c>
    </row>
    <row r="168" spans="2:26" ht="13.5" thickBot="1">
      <c r="B168" s="264" t="s">
        <v>17</v>
      </c>
      <c r="C168" s="265" t="str">
        <f>HEX2BIN(C167,C166)</f>
        <v>0000</v>
      </c>
      <c r="D168" s="265" t="str">
        <f>HEX2BIN(D167,D166)</f>
        <v>0000</v>
      </c>
      <c r="E168" s="265" t="str">
        <f>HEX2BIN(E167,E166)</f>
        <v>0000</v>
      </c>
      <c r="F168" s="265" t="str">
        <f>HEX2BIN(F167,F166)</f>
        <v>0000</v>
      </c>
      <c r="G168" s="277" t="s">
        <v>381</v>
      </c>
      <c r="H168" s="265" t="str">
        <f>HEX2BIN(H167,H166)</f>
        <v>0011</v>
      </c>
      <c r="I168" s="261"/>
      <c r="J168" s="261"/>
      <c r="K168" s="261"/>
      <c r="L168" s="261"/>
      <c r="M168" s="261"/>
      <c r="N168" s="261"/>
      <c r="O168" s="261"/>
      <c r="P168" s="261"/>
      <c r="Q168" s="261"/>
      <c r="R168" s="261"/>
      <c r="S168" s="261"/>
      <c r="T168" s="261"/>
      <c r="U168" s="261"/>
      <c r="V168" s="261"/>
      <c r="W168" s="261"/>
      <c r="X168" s="261"/>
      <c r="Y168" s="261"/>
      <c r="Z168" s="237" t="str">
        <f>BIN2HEX(RIGHT((LEFT(Z163,20)),4))</f>
        <v>0</v>
      </c>
    </row>
    <row r="169" spans="2:26" ht="13.5" thickBot="1">
      <c r="B169" s="266" t="s">
        <v>18</v>
      </c>
      <c r="C169" s="267" t="str">
        <f>CONCATENATE("0x",Z164,Z165,Z166,Z167,Z168,Z169,Z170,Z171)</f>
        <v>0x00000003</v>
      </c>
      <c r="I169" s="278"/>
      <c r="J169" s="278"/>
      <c r="Z169" s="237" t="str">
        <f>BIN2HEX(RIGHT((LEFT(Z163,24)),4))</f>
        <v>0</v>
      </c>
    </row>
    <row r="170" spans="2:26">
      <c r="I170" s="278"/>
      <c r="J170" s="278"/>
      <c r="Z170" s="237" t="str">
        <f>BIN2HEX(RIGHT((LEFT(Z163,28)),4))</f>
        <v>0</v>
      </c>
    </row>
    <row r="171" spans="2:26">
      <c r="I171" s="278"/>
      <c r="J171" s="278"/>
      <c r="Z171" s="237" t="str">
        <f>BIN2HEX(RIGHT((LEFT(Z163,33)),4))</f>
        <v>3</v>
      </c>
    </row>
    <row r="172" spans="2:26">
      <c r="Z172" s="248" t="s">
        <v>353</v>
      </c>
    </row>
    <row r="173" spans="2:26" ht="13.5" thickBot="1">
      <c r="Z173" s="237" t="str">
        <f>CONCATENATE(C178,D178,E178,F178)</f>
        <v>00000000000000000000010000000100</v>
      </c>
    </row>
    <row r="174" spans="2:26" ht="13.5" thickBot="1">
      <c r="B174" s="245" t="s">
        <v>876</v>
      </c>
      <c r="C174" s="246"/>
      <c r="D174" s="246"/>
      <c r="E174" s="246"/>
      <c r="F174" s="246"/>
      <c r="G174" s="276"/>
      <c r="H174" s="276"/>
      <c r="I174" s="276"/>
      <c r="J174" s="276"/>
      <c r="K174" s="276"/>
      <c r="L174" s="276"/>
      <c r="M174" s="276"/>
      <c r="N174" s="276"/>
      <c r="O174" s="276"/>
      <c r="P174" s="248"/>
      <c r="Q174" s="248"/>
      <c r="R174" s="248"/>
      <c r="S174" s="248"/>
      <c r="T174" s="248"/>
      <c r="U174" s="248"/>
      <c r="V174" s="248"/>
      <c r="W174" s="248"/>
      <c r="X174" s="248"/>
      <c r="Y174" s="248"/>
      <c r="Z174" s="237" t="str">
        <f>BIN2HEX(RIGHT((LEFT(Z173,4)),4))</f>
        <v>0</v>
      </c>
    </row>
    <row r="175" spans="2:26" ht="13.5" thickTop="1">
      <c r="B175" s="249"/>
      <c r="C175" s="268" t="s">
        <v>382</v>
      </c>
      <c r="D175" s="251" t="s">
        <v>384</v>
      </c>
      <c r="E175" s="251" t="s">
        <v>385</v>
      </c>
      <c r="F175" s="251" t="s">
        <v>386</v>
      </c>
      <c r="G175" s="271"/>
      <c r="H175" s="271"/>
      <c r="I175" s="271"/>
      <c r="J175" s="271"/>
      <c r="K175" s="271"/>
      <c r="L175" s="271"/>
      <c r="M175" s="271"/>
      <c r="N175" s="271"/>
      <c r="O175" s="271"/>
      <c r="P175" s="272"/>
      <c r="Q175" s="272"/>
      <c r="R175" s="272"/>
      <c r="S175" s="272"/>
      <c r="T175" s="272"/>
      <c r="U175" s="272"/>
      <c r="V175" s="272"/>
      <c r="W175" s="272"/>
      <c r="X175" s="272"/>
      <c r="Y175" s="272"/>
      <c r="Z175" s="237" t="str">
        <f>BIN2HEX(RIGHT((LEFT(Z173,8)),4))</f>
        <v>0</v>
      </c>
    </row>
    <row r="176" spans="2:26">
      <c r="B176" s="255" t="s">
        <v>189</v>
      </c>
      <c r="C176" s="256">
        <v>20</v>
      </c>
      <c r="D176" s="257">
        <v>4</v>
      </c>
      <c r="E176" s="257">
        <v>4</v>
      </c>
      <c r="F176" s="257">
        <v>4</v>
      </c>
      <c r="G176" s="274"/>
      <c r="H176" s="274"/>
      <c r="I176" s="274"/>
      <c r="J176" s="274"/>
      <c r="K176" s="274"/>
      <c r="L176" s="274"/>
      <c r="M176" s="274"/>
      <c r="N176" s="274"/>
      <c r="O176" s="274"/>
      <c r="P176" s="272"/>
      <c r="Q176" s="272"/>
      <c r="R176" s="272"/>
      <c r="S176" s="272"/>
      <c r="T176" s="272"/>
      <c r="U176" s="272"/>
      <c r="V176" s="272"/>
      <c r="W176" s="272"/>
      <c r="X176" s="272"/>
      <c r="Y176" s="272"/>
      <c r="Z176" s="237" t="str">
        <f>BIN2HEX(RIGHT((LEFT(Z173,12)),4))</f>
        <v>0</v>
      </c>
    </row>
    <row r="177" spans="2:26">
      <c r="B177" s="262" t="s">
        <v>16</v>
      </c>
      <c r="C177" s="263">
        <v>0</v>
      </c>
      <c r="D177" s="259" t="str">
        <f>IF(Memory_Type="LPDDR4",DEC2HEX(CEILING((tCKELCK/tCK)/2,1)),F157)</f>
        <v>4</v>
      </c>
      <c r="E177" s="259">
        <v>0</v>
      </c>
      <c r="F177" s="259" t="str">
        <f>IF(Memory_Type="LPDDR4",2,D157)</f>
        <v>4</v>
      </c>
      <c r="G177" s="261"/>
      <c r="H177" s="261"/>
      <c r="I177" s="261"/>
      <c r="J177" s="261"/>
      <c r="K177" s="261"/>
      <c r="L177" s="261"/>
      <c r="M177" s="261"/>
      <c r="N177" s="261"/>
      <c r="O177" s="261"/>
      <c r="P177" s="261"/>
      <c r="Q177" s="261"/>
      <c r="R177" s="261"/>
      <c r="S177" s="261"/>
      <c r="T177" s="261"/>
      <c r="U177" s="261"/>
      <c r="V177" s="261"/>
      <c r="W177" s="261"/>
      <c r="X177" s="261"/>
      <c r="Y177" s="261"/>
      <c r="Z177" s="237" t="str">
        <f>BIN2HEX(RIGHT((LEFT(Z173,16)),4))</f>
        <v>0</v>
      </c>
    </row>
    <row r="178" spans="2:26" ht="13.5" thickBot="1">
      <c r="B178" s="264" t="s">
        <v>17</v>
      </c>
      <c r="C178" s="277" t="s">
        <v>383</v>
      </c>
      <c r="D178" s="265" t="str">
        <f>HEX2BIN(D177,D176)</f>
        <v>0100</v>
      </c>
      <c r="E178" s="265" t="str">
        <f>HEX2BIN(E177,E176)</f>
        <v>0000</v>
      </c>
      <c r="F178" s="265" t="str">
        <f>HEX2BIN(F177,F176)</f>
        <v>0100</v>
      </c>
      <c r="G178" s="261"/>
      <c r="H178" s="261"/>
      <c r="I178" s="261"/>
      <c r="J178" s="261"/>
      <c r="K178" s="261"/>
      <c r="L178" s="261"/>
      <c r="M178" s="261"/>
      <c r="N178" s="261"/>
      <c r="O178" s="261"/>
      <c r="P178" s="261"/>
      <c r="Q178" s="261"/>
      <c r="R178" s="261"/>
      <c r="S178" s="261"/>
      <c r="T178" s="261"/>
      <c r="U178" s="261"/>
      <c r="V178" s="261"/>
      <c r="W178" s="261"/>
      <c r="X178" s="261"/>
      <c r="Y178" s="261"/>
      <c r="Z178" s="237" t="str">
        <f>BIN2HEX(RIGHT((LEFT(Z173,20)),4))</f>
        <v>0</v>
      </c>
    </row>
    <row r="179" spans="2:26" ht="13.5" thickBot="1">
      <c r="B179" s="266" t="s">
        <v>18</v>
      </c>
      <c r="C179" s="267" t="str">
        <f>CONCATENATE("0x",Z174,Z175,Z176,Z177,Z178,Z179,Z180,Z181)</f>
        <v>0x00000404</v>
      </c>
      <c r="I179" s="278"/>
      <c r="J179" s="278"/>
      <c r="Z179" s="237" t="str">
        <f>BIN2HEX(RIGHT((LEFT(Z173,24)),4))</f>
        <v>4</v>
      </c>
    </row>
    <row r="180" spans="2:26">
      <c r="I180" s="278"/>
      <c r="J180" s="278"/>
      <c r="Z180" s="237" t="str">
        <f>BIN2HEX(RIGHT((LEFT(Z173,28)),4))</f>
        <v>0</v>
      </c>
    </row>
    <row r="181" spans="2:26">
      <c r="I181" s="278"/>
      <c r="J181" s="278"/>
      <c r="Z181" s="237" t="str">
        <f>BIN2HEX(RIGHT((LEFT(Z173,33)),4))</f>
        <v>4</v>
      </c>
    </row>
    <row r="182" spans="2:26">
      <c r="Z182" s="248" t="s">
        <v>354</v>
      </c>
    </row>
    <row r="183" spans="2:26" ht="13.5" thickBot="1">
      <c r="Z183" s="237" t="str">
        <f>CONCATENATE(C188,D188,E188,F188,G188,H188,I188,J188)</f>
        <v>00000010000000100000110000000100</v>
      </c>
    </row>
    <row r="184" spans="2:26" ht="13.5" thickBot="1">
      <c r="B184" s="245" t="s">
        <v>877</v>
      </c>
      <c r="C184" s="246"/>
      <c r="D184" s="246"/>
      <c r="E184" s="246"/>
      <c r="F184" s="246"/>
      <c r="G184" s="246"/>
      <c r="H184" s="246"/>
      <c r="I184" s="246"/>
      <c r="J184" s="246"/>
      <c r="K184" s="276"/>
      <c r="L184" s="276"/>
      <c r="M184" s="276"/>
      <c r="N184" s="276"/>
      <c r="O184" s="276"/>
      <c r="P184" s="248"/>
      <c r="Q184" s="248"/>
      <c r="R184" s="248"/>
      <c r="S184" s="248"/>
      <c r="T184" s="248"/>
      <c r="U184" s="248"/>
      <c r="V184" s="248"/>
      <c r="W184" s="248"/>
      <c r="X184" s="248"/>
      <c r="Y184" s="248"/>
      <c r="Z184" s="237" t="str">
        <f>BIN2HEX(RIGHT((LEFT(Z183,4)),4))</f>
        <v>0</v>
      </c>
    </row>
    <row r="185" spans="2:26" ht="13.5" thickTop="1">
      <c r="B185" s="249"/>
      <c r="C185" s="268" t="s">
        <v>87</v>
      </c>
      <c r="D185" s="251" t="s">
        <v>387</v>
      </c>
      <c r="E185" s="251" t="s">
        <v>192</v>
      </c>
      <c r="F185" s="251" t="s">
        <v>388</v>
      </c>
      <c r="G185" s="251" t="s">
        <v>333</v>
      </c>
      <c r="H185" s="251" t="s">
        <v>389</v>
      </c>
      <c r="I185" s="251" t="s">
        <v>349</v>
      </c>
      <c r="J185" s="251" t="s">
        <v>390</v>
      </c>
      <c r="K185" s="271"/>
      <c r="L185" s="271"/>
      <c r="M185" s="271"/>
      <c r="N185" s="271"/>
      <c r="O185" s="271"/>
      <c r="P185" s="272"/>
      <c r="Q185" s="272"/>
      <c r="R185" s="272"/>
      <c r="S185" s="272"/>
      <c r="T185" s="272"/>
      <c r="U185" s="272"/>
      <c r="V185" s="272"/>
      <c r="W185" s="272"/>
      <c r="X185" s="272"/>
      <c r="Y185" s="272"/>
      <c r="Z185" s="237" t="str">
        <f>BIN2HEX(RIGHT((LEFT(Z183,8)),4))</f>
        <v>2</v>
      </c>
    </row>
    <row r="186" spans="2:26">
      <c r="B186" s="255" t="s">
        <v>189</v>
      </c>
      <c r="C186" s="256">
        <v>1</v>
      </c>
      <c r="D186" s="257">
        <v>7</v>
      </c>
      <c r="E186" s="257">
        <v>1</v>
      </c>
      <c r="F186" s="257">
        <v>7</v>
      </c>
      <c r="G186" s="257">
        <v>1</v>
      </c>
      <c r="H186" s="257">
        <v>7</v>
      </c>
      <c r="I186" s="257">
        <v>1</v>
      </c>
      <c r="J186" s="257">
        <v>7</v>
      </c>
      <c r="K186" s="274"/>
      <c r="L186" s="274"/>
      <c r="M186" s="274"/>
      <c r="N186" s="274"/>
      <c r="O186" s="274"/>
      <c r="P186" s="272"/>
      <c r="Q186" s="272"/>
      <c r="R186" s="272"/>
      <c r="S186" s="272"/>
      <c r="T186" s="272"/>
      <c r="U186" s="272"/>
      <c r="V186" s="272"/>
      <c r="W186" s="272"/>
      <c r="X186" s="272"/>
      <c r="Y186" s="272"/>
      <c r="Z186" s="237" t="str">
        <f>BIN2HEX(RIGHT((LEFT(Z183,12)),4))</f>
        <v>0</v>
      </c>
    </row>
    <row r="187" spans="2:26">
      <c r="B187" s="262" t="s">
        <v>16</v>
      </c>
      <c r="C187" s="263">
        <v>0</v>
      </c>
      <c r="D187" s="259" t="str">
        <f>DEC2HEX(CEILING(tXS_FAST/tCK/2/32,1))</f>
        <v>2</v>
      </c>
      <c r="E187" s="259">
        <v>0</v>
      </c>
      <c r="F187" s="259" t="str">
        <f>DEC2HEX(CEILING(tXS_ABORT/tCK/2/32,1))</f>
        <v>2</v>
      </c>
      <c r="G187" s="259">
        <v>0</v>
      </c>
      <c r="H187" s="259" t="str">
        <f>DEC2HEX(CEILING(tXSDLL/tCK/2/32,1))</f>
        <v>C</v>
      </c>
      <c r="I187" s="259">
        <v>0</v>
      </c>
      <c r="J187" s="259" t="str">
        <f>DEC2HEX(CEILING(tXS/tCK/2/32,1))</f>
        <v>4</v>
      </c>
      <c r="K187" s="261"/>
      <c r="L187" s="261"/>
      <c r="M187" s="261"/>
      <c r="N187" s="261"/>
      <c r="O187" s="261"/>
      <c r="P187" s="261"/>
      <c r="Q187" s="261"/>
      <c r="R187" s="261"/>
      <c r="S187" s="261"/>
      <c r="T187" s="261"/>
      <c r="U187" s="261"/>
      <c r="V187" s="261"/>
      <c r="W187" s="261"/>
      <c r="X187" s="261"/>
      <c r="Y187" s="261"/>
      <c r="Z187" s="237" t="str">
        <f>BIN2HEX(RIGHT((LEFT(Z183,16)),4))</f>
        <v>2</v>
      </c>
    </row>
    <row r="188" spans="2:26" ht="13.5" thickBot="1">
      <c r="B188" s="264" t="s">
        <v>17</v>
      </c>
      <c r="C188" s="265" t="str">
        <f t="shared" ref="C188:J188" si="12">HEX2BIN(C187,C186)</f>
        <v>0</v>
      </c>
      <c r="D188" s="265" t="str">
        <f t="shared" si="12"/>
        <v>0000010</v>
      </c>
      <c r="E188" s="265" t="str">
        <f t="shared" si="12"/>
        <v>0</v>
      </c>
      <c r="F188" s="265" t="str">
        <f t="shared" si="12"/>
        <v>0000010</v>
      </c>
      <c r="G188" s="265" t="str">
        <f t="shared" si="12"/>
        <v>0</v>
      </c>
      <c r="H188" s="265" t="str">
        <f t="shared" si="12"/>
        <v>0001100</v>
      </c>
      <c r="I188" s="265" t="str">
        <f t="shared" si="12"/>
        <v>0</v>
      </c>
      <c r="J188" s="265" t="str">
        <f t="shared" si="12"/>
        <v>0000100</v>
      </c>
      <c r="K188" s="261"/>
      <c r="L188" s="261"/>
      <c r="M188" s="261"/>
      <c r="N188" s="261"/>
      <c r="O188" s="261"/>
      <c r="P188" s="261"/>
      <c r="Q188" s="261"/>
      <c r="R188" s="261"/>
      <c r="S188" s="261"/>
      <c r="T188" s="261"/>
      <c r="U188" s="261"/>
      <c r="V188" s="261"/>
      <c r="W188" s="261"/>
      <c r="X188" s="261"/>
      <c r="Y188" s="261"/>
      <c r="Z188" s="237" t="str">
        <f>BIN2HEX(RIGHT((LEFT(Z183,20)),4))</f>
        <v>0</v>
      </c>
    </row>
    <row r="189" spans="2:26" ht="13.5" thickBot="1">
      <c r="B189" s="266" t="s">
        <v>18</v>
      </c>
      <c r="C189" s="267" t="str">
        <f>CONCATENATE("0x",Z184,Z185,Z186,Z187,Z188,Z189,Z190,Z191)</f>
        <v>0x02020C04</v>
      </c>
      <c r="I189" s="278"/>
      <c r="J189" s="278"/>
      <c r="Z189" s="237" t="str">
        <f>BIN2HEX(RIGHT((LEFT(Z183,24)),4))</f>
        <v>C</v>
      </c>
    </row>
    <row r="190" spans="2:26">
      <c r="I190" s="278"/>
      <c r="J190" s="278"/>
      <c r="Z190" s="237" t="str">
        <f>BIN2HEX(RIGHT((LEFT(Z183,28)),4))</f>
        <v>0</v>
      </c>
    </row>
    <row r="191" spans="2:26">
      <c r="I191" s="278"/>
      <c r="J191" s="278"/>
      <c r="Z191" s="237" t="str">
        <f>BIN2HEX(RIGHT((LEFT(Z183,33)),4))</f>
        <v>4</v>
      </c>
    </row>
    <row r="193" spans="2:26">
      <c r="Z193" s="248" t="s">
        <v>355</v>
      </c>
    </row>
    <row r="194" spans="2:26" ht="13.5" thickBot="1">
      <c r="Z194" s="237" t="str">
        <f>CONCATENATE(C199,D199,E199,F199,G199,H199,I199,J199)</f>
        <v>00000000000000100000001000001000</v>
      </c>
    </row>
    <row r="195" spans="2:26" ht="13.5" thickBot="1">
      <c r="B195" s="245" t="s">
        <v>878</v>
      </c>
      <c r="C195" s="246"/>
      <c r="D195" s="246"/>
      <c r="E195" s="246"/>
      <c r="F195" s="246"/>
      <c r="G195" s="246"/>
      <c r="H195" s="246"/>
      <c r="I195" s="246"/>
      <c r="J195" s="246"/>
      <c r="K195" s="276"/>
      <c r="L195" s="276"/>
      <c r="M195" s="276"/>
      <c r="N195" s="276"/>
      <c r="O195" s="276"/>
      <c r="P195" s="248"/>
      <c r="Q195" s="248"/>
      <c r="R195" s="248"/>
      <c r="S195" s="248"/>
      <c r="T195" s="248"/>
      <c r="U195" s="248"/>
      <c r="V195" s="248"/>
      <c r="W195" s="248"/>
      <c r="X195" s="248"/>
      <c r="Y195" s="248"/>
      <c r="Z195" s="237" t="str">
        <f>BIN2HEX(RIGHT((LEFT(Z194,4)),4))</f>
        <v>0</v>
      </c>
    </row>
    <row r="196" spans="2:26" ht="13.5" thickTop="1">
      <c r="B196" s="249"/>
      <c r="C196" s="268" t="s">
        <v>87</v>
      </c>
      <c r="D196" s="251" t="s">
        <v>356</v>
      </c>
      <c r="E196" s="251" t="s">
        <v>357</v>
      </c>
      <c r="F196" s="251" t="s">
        <v>358</v>
      </c>
      <c r="G196" s="251" t="s">
        <v>359</v>
      </c>
      <c r="H196" s="251" t="s">
        <v>360</v>
      </c>
      <c r="I196" s="251" t="s">
        <v>187</v>
      </c>
      <c r="J196" s="251" t="s">
        <v>361</v>
      </c>
      <c r="K196" s="271"/>
      <c r="L196" s="271"/>
      <c r="M196" s="271"/>
      <c r="N196" s="271"/>
      <c r="O196" s="271"/>
      <c r="P196" s="272"/>
      <c r="Q196" s="272"/>
      <c r="R196" s="272"/>
      <c r="S196" s="272"/>
      <c r="T196" s="272"/>
      <c r="U196" s="272"/>
      <c r="V196" s="272"/>
      <c r="W196" s="272"/>
      <c r="X196" s="272"/>
      <c r="Y196" s="272"/>
      <c r="Z196" s="237" t="str">
        <f>BIN2HEX(RIGHT((LEFT(Z194,8)),4))</f>
        <v>0</v>
      </c>
    </row>
    <row r="197" spans="2:26">
      <c r="B197" s="255" t="s">
        <v>189</v>
      </c>
      <c r="C197" s="256">
        <v>1</v>
      </c>
      <c r="D197" s="257">
        <v>1</v>
      </c>
      <c r="E197" s="257">
        <v>11</v>
      </c>
      <c r="F197" s="257">
        <v>3</v>
      </c>
      <c r="G197" s="257">
        <v>4</v>
      </c>
      <c r="H197" s="257">
        <v>4</v>
      </c>
      <c r="I197" s="257">
        <v>2</v>
      </c>
      <c r="J197" s="257">
        <v>6</v>
      </c>
      <c r="K197" s="274"/>
      <c r="L197" s="274"/>
      <c r="M197" s="274"/>
      <c r="N197" s="274"/>
      <c r="O197" s="274"/>
      <c r="P197" s="272"/>
      <c r="Q197" s="272"/>
      <c r="R197" s="272"/>
      <c r="S197" s="272"/>
      <c r="T197" s="272"/>
      <c r="U197" s="272"/>
      <c r="V197" s="272"/>
      <c r="W197" s="272"/>
      <c r="X197" s="272"/>
      <c r="Y197" s="272"/>
      <c r="Z197" s="237" t="str">
        <f>BIN2HEX(RIGHT((LEFT(Z194,12)),4))</f>
        <v>0</v>
      </c>
    </row>
    <row r="198" spans="2:26">
      <c r="B198" s="262" t="s">
        <v>16</v>
      </c>
      <c r="C198" s="263">
        <v>0</v>
      </c>
      <c r="D198" s="259">
        <f>IF(tWPRE/tCK=1,0,1)</f>
        <v>0</v>
      </c>
      <c r="E198" s="259">
        <v>0</v>
      </c>
      <c r="F198" s="259" t="str">
        <f>DEC2HEX(CEILING(tCCD_S/tCK/2,1))</f>
        <v>2</v>
      </c>
      <c r="G198" s="259">
        <v>0</v>
      </c>
      <c r="H198" s="259" t="str">
        <f>DEC2HEX(CEILING(tRRD_S/tCK/2,1))</f>
        <v>2</v>
      </c>
      <c r="I198" s="259">
        <v>0</v>
      </c>
      <c r="J198" s="259" t="str">
        <f>DEC2HEX(CEILING((CWL+PL+BL/2+tWTR_S/tCK)/2,1))</f>
        <v>8</v>
      </c>
      <c r="K198" s="261"/>
      <c r="L198" s="261"/>
      <c r="M198" s="261"/>
      <c r="N198" s="261"/>
      <c r="O198" s="261"/>
      <c r="P198" s="261"/>
      <c r="Q198" s="261"/>
      <c r="R198" s="261"/>
      <c r="S198" s="261"/>
      <c r="T198" s="261"/>
      <c r="U198" s="261"/>
      <c r="V198" s="261"/>
      <c r="W198" s="261"/>
      <c r="X198" s="261"/>
      <c r="Y198" s="261"/>
      <c r="Z198" s="237" t="str">
        <f>BIN2HEX(RIGHT((LEFT(Z194,16)),4))</f>
        <v>2</v>
      </c>
    </row>
    <row r="199" spans="2:26" ht="13.5" thickBot="1">
      <c r="B199" s="264" t="s">
        <v>17</v>
      </c>
      <c r="C199" s="265" t="str">
        <f>HEX2BIN(C198,C197)</f>
        <v>0</v>
      </c>
      <c r="D199" s="265" t="str">
        <f>HEX2BIN(D198,D197)</f>
        <v>0</v>
      </c>
      <c r="E199" s="277" t="s">
        <v>254</v>
      </c>
      <c r="F199" s="265" t="str">
        <f>HEX2BIN(F198,F197)</f>
        <v>010</v>
      </c>
      <c r="G199" s="265" t="str">
        <f>HEX2BIN(G198,G197)</f>
        <v>0000</v>
      </c>
      <c r="H199" s="265" t="str">
        <f>HEX2BIN(H198,H197)</f>
        <v>0010</v>
      </c>
      <c r="I199" s="265" t="str">
        <f>HEX2BIN(I198,I197)</f>
        <v>00</v>
      </c>
      <c r="J199" s="265" t="str">
        <f>HEX2BIN(J198,J197)</f>
        <v>001000</v>
      </c>
      <c r="K199" s="261"/>
      <c r="L199" s="261"/>
      <c r="M199" s="261"/>
      <c r="N199" s="261"/>
      <c r="O199" s="261"/>
      <c r="P199" s="261"/>
      <c r="Q199" s="261"/>
      <c r="R199" s="261"/>
      <c r="S199" s="261"/>
      <c r="T199" s="261"/>
      <c r="U199" s="261"/>
      <c r="V199" s="261"/>
      <c r="W199" s="261"/>
      <c r="X199" s="261"/>
      <c r="Y199" s="261"/>
      <c r="Z199" s="237" t="str">
        <f>BIN2HEX(RIGHT((LEFT(Z194,20)),4))</f>
        <v>0</v>
      </c>
    </row>
    <row r="200" spans="2:26" ht="13.5" thickBot="1">
      <c r="B200" s="266" t="s">
        <v>18</v>
      </c>
      <c r="C200" s="267" t="str">
        <f>CONCATENATE("0x",Z195,Z196,Z197,Z198,Z199,Z200,Z201,Z202)</f>
        <v>0x00020208</v>
      </c>
      <c r="I200" s="278"/>
      <c r="J200" s="278"/>
      <c r="Z200" s="237" t="str">
        <f>BIN2HEX(RIGHT((LEFT(Z194,24)),4))</f>
        <v>2</v>
      </c>
    </row>
    <row r="201" spans="2:26">
      <c r="I201" s="278"/>
      <c r="J201" s="278"/>
      <c r="Z201" s="237" t="str">
        <f>BIN2HEX(RIGHT((LEFT(Z194,28)),4))</f>
        <v>0</v>
      </c>
    </row>
    <row r="202" spans="2:26">
      <c r="I202" s="278"/>
      <c r="J202" s="278"/>
      <c r="Z202" s="237" t="str">
        <f>BIN2HEX(RIGHT((LEFT(Z194,33)),4))</f>
        <v>8</v>
      </c>
    </row>
    <row r="203" spans="2:26" ht="13.5" thickBot="1">
      <c r="Z203" s="237" t="str">
        <f>CONCATENATE(C208,D208,E208,F208,G208,H208,I208,J208)</f>
        <v>00010000000001010000000100001110</v>
      </c>
    </row>
    <row r="204" spans="2:26" ht="13.5" thickBot="1">
      <c r="B204" s="245" t="s">
        <v>879</v>
      </c>
      <c r="C204" s="246"/>
      <c r="D204" s="246"/>
      <c r="E204" s="246"/>
      <c r="F204" s="246"/>
      <c r="G204" s="246"/>
      <c r="H204" s="246"/>
      <c r="I204" s="246"/>
      <c r="J204" s="246"/>
      <c r="K204" s="276"/>
      <c r="L204" s="276"/>
      <c r="M204" s="276"/>
      <c r="N204" s="276"/>
      <c r="O204" s="276"/>
      <c r="P204" s="248"/>
      <c r="Q204" s="248"/>
      <c r="R204" s="248"/>
      <c r="S204" s="248"/>
      <c r="T204" s="248"/>
      <c r="U204" s="248"/>
      <c r="V204" s="248"/>
      <c r="W204" s="248"/>
      <c r="X204" s="248"/>
      <c r="Y204" s="248"/>
      <c r="Z204" s="237" t="str">
        <f>BIN2HEX(RIGHT((LEFT(Z203,4)),4))</f>
        <v>1</v>
      </c>
    </row>
    <row r="205" spans="2:26" ht="13.5" thickTop="1">
      <c r="B205" s="249"/>
      <c r="C205" s="268" t="s">
        <v>87</v>
      </c>
      <c r="D205" s="251" t="s">
        <v>395</v>
      </c>
      <c r="E205" s="251" t="s">
        <v>341</v>
      </c>
      <c r="F205" s="251" t="s">
        <v>396</v>
      </c>
      <c r="G205" s="251" t="s">
        <v>397</v>
      </c>
      <c r="H205" s="251" t="s">
        <v>398</v>
      </c>
      <c r="I205" s="251" t="s">
        <v>196</v>
      </c>
      <c r="J205" s="251" t="s">
        <v>399</v>
      </c>
      <c r="K205" s="271"/>
      <c r="L205" s="271"/>
      <c r="M205" s="271"/>
      <c r="N205" s="271"/>
      <c r="O205" s="271"/>
      <c r="P205" s="272"/>
      <c r="Q205" s="272"/>
      <c r="R205" s="272"/>
      <c r="S205" s="272"/>
      <c r="T205" s="272"/>
      <c r="U205" s="272"/>
      <c r="V205" s="272"/>
      <c r="W205" s="272"/>
      <c r="X205" s="272"/>
      <c r="Y205" s="272"/>
      <c r="Z205" s="237" t="str">
        <f>BIN2HEX(RIGHT((LEFT(Z203,8)),4))</f>
        <v>0</v>
      </c>
    </row>
    <row r="206" spans="2:26">
      <c r="B206" s="255" t="s">
        <v>189</v>
      </c>
      <c r="C206" s="256">
        <v>1</v>
      </c>
      <c r="D206" s="257">
        <v>7</v>
      </c>
      <c r="E206" s="257">
        <v>3</v>
      </c>
      <c r="F206" s="257">
        <v>5</v>
      </c>
      <c r="G206" s="257">
        <v>6</v>
      </c>
      <c r="H206" s="257">
        <v>2</v>
      </c>
      <c r="I206" s="257">
        <v>3</v>
      </c>
      <c r="J206" s="257">
        <v>5</v>
      </c>
      <c r="K206" s="274"/>
      <c r="L206" s="274"/>
      <c r="M206" s="274"/>
      <c r="N206" s="274"/>
      <c r="O206" s="274"/>
      <c r="P206" s="272"/>
      <c r="Q206" s="272"/>
      <c r="R206" s="272"/>
      <c r="S206" s="272"/>
      <c r="T206" s="272"/>
      <c r="U206" s="272"/>
      <c r="V206" s="272"/>
      <c r="W206" s="272"/>
      <c r="X206" s="272"/>
      <c r="Y206" s="272"/>
      <c r="Z206" s="237" t="str">
        <f>BIN2HEX(RIGHT((LEFT(Z203,12)),4))</f>
        <v>0</v>
      </c>
    </row>
    <row r="207" spans="2:26">
      <c r="B207" s="262" t="s">
        <v>16</v>
      </c>
      <c r="C207" s="263">
        <v>0</v>
      </c>
      <c r="D207" s="259" t="str">
        <f>DEC2HEX(CEILING(tXMPDLL/tCK/2/32,1))</f>
        <v>10</v>
      </c>
      <c r="E207" s="259">
        <v>0</v>
      </c>
      <c r="F207" s="259" t="str">
        <f>DEC2HEX(ROUNDUP(tMPX_LH/tCK/2,0)+1)</f>
        <v>5</v>
      </c>
      <c r="G207" s="259">
        <v>0</v>
      </c>
      <c r="H207" s="259" t="str">
        <f>DEC2HEX(CEILING(tMPX_S/tCK/2,1))</f>
        <v>1</v>
      </c>
      <c r="I207" s="259">
        <v>0</v>
      </c>
      <c r="J207" s="259" t="str">
        <f>DEC2HEX(CEILING(tCKMPE/tCK/2,1))</f>
        <v>E</v>
      </c>
      <c r="K207" s="261"/>
      <c r="L207" s="261"/>
      <c r="M207" s="261"/>
      <c r="N207" s="261"/>
      <c r="O207" s="261"/>
      <c r="P207" s="261"/>
      <c r="Q207" s="261"/>
      <c r="R207" s="261"/>
      <c r="S207" s="261"/>
      <c r="T207" s="261"/>
      <c r="U207" s="261"/>
      <c r="V207" s="261"/>
      <c r="W207" s="261"/>
      <c r="X207" s="261"/>
      <c r="Y207" s="261"/>
      <c r="Z207" s="237" t="str">
        <f>BIN2HEX(RIGHT((LEFT(Z203,16)),4))</f>
        <v>5</v>
      </c>
    </row>
    <row r="208" spans="2:26" ht="13.5" thickBot="1">
      <c r="B208" s="264" t="s">
        <v>17</v>
      </c>
      <c r="C208" s="265" t="str">
        <f t="shared" ref="C208:J208" si="13">HEX2BIN(C207,C206)</f>
        <v>0</v>
      </c>
      <c r="D208" s="265" t="str">
        <f t="shared" si="13"/>
        <v>0010000</v>
      </c>
      <c r="E208" s="265" t="str">
        <f t="shared" si="13"/>
        <v>000</v>
      </c>
      <c r="F208" s="265" t="str">
        <f t="shared" si="13"/>
        <v>00101</v>
      </c>
      <c r="G208" s="265" t="str">
        <f t="shared" si="13"/>
        <v>000000</v>
      </c>
      <c r="H208" s="265" t="str">
        <f t="shared" si="13"/>
        <v>01</v>
      </c>
      <c r="I208" s="265" t="str">
        <f t="shared" si="13"/>
        <v>000</v>
      </c>
      <c r="J208" s="265" t="str">
        <f t="shared" si="13"/>
        <v>01110</v>
      </c>
      <c r="K208" s="261"/>
      <c r="L208" s="261"/>
      <c r="M208" s="261"/>
      <c r="N208" s="261"/>
      <c r="O208" s="261"/>
      <c r="P208" s="261"/>
      <c r="Q208" s="261"/>
      <c r="R208" s="261"/>
      <c r="S208" s="261"/>
      <c r="T208" s="261"/>
      <c r="U208" s="261"/>
      <c r="V208" s="261"/>
      <c r="W208" s="261"/>
      <c r="X208" s="261"/>
      <c r="Y208" s="261"/>
      <c r="Z208" s="237" t="str">
        <f>BIN2HEX(RIGHT((LEFT(Z203,20)),4))</f>
        <v>0</v>
      </c>
    </row>
    <row r="209" spans="2:26" ht="13.5" thickBot="1">
      <c r="B209" s="266" t="s">
        <v>18</v>
      </c>
      <c r="C209" s="267" t="str">
        <f>CONCATENATE("0x",Z204,Z205,Z206,Z207,Z208,Z209,Z210,Z211)</f>
        <v>0x1005010E</v>
      </c>
      <c r="I209" s="278"/>
      <c r="J209" s="278"/>
      <c r="Z209" s="237" t="str">
        <f>BIN2HEX(RIGHT((LEFT(Z203,24)),4))</f>
        <v>1</v>
      </c>
    </row>
    <row r="210" spans="2:26">
      <c r="I210" s="278"/>
      <c r="J210" s="278"/>
      <c r="Z210" s="237" t="str">
        <f>BIN2HEX(RIGHT((LEFT(Z203,28)),4))</f>
        <v>0</v>
      </c>
    </row>
    <row r="211" spans="2:26">
      <c r="I211" s="278"/>
      <c r="J211" s="278"/>
      <c r="Z211" s="237" t="str">
        <f>BIN2HEX(RIGHT((LEFT(Z203,33)),4))</f>
        <v>E</v>
      </c>
    </row>
    <row r="212" spans="2:26">
      <c r="Z212" s="248" t="s">
        <v>391</v>
      </c>
    </row>
    <row r="213" spans="2:26" ht="13.5" thickBot="1">
      <c r="Z213" s="237" t="str">
        <f>CONCATENATE(C218,D218,E218,F218)</f>
        <v>00000000000000100000000000001000</v>
      </c>
    </row>
    <row r="214" spans="2:26" ht="13.5" thickBot="1">
      <c r="B214" s="245" t="s">
        <v>880</v>
      </c>
      <c r="C214" s="246"/>
      <c r="D214" s="246"/>
      <c r="E214" s="246"/>
      <c r="F214" s="246"/>
      <c r="G214" s="276"/>
      <c r="H214" s="276"/>
      <c r="I214" s="276"/>
      <c r="J214" s="276"/>
      <c r="K214" s="276"/>
      <c r="L214" s="276"/>
      <c r="M214" s="276"/>
      <c r="N214" s="276"/>
      <c r="O214" s="276"/>
      <c r="P214" s="248"/>
      <c r="Q214" s="248"/>
      <c r="R214" s="248"/>
      <c r="S214" s="248"/>
      <c r="T214" s="248"/>
      <c r="U214" s="248"/>
      <c r="V214" s="248"/>
      <c r="W214" s="248"/>
      <c r="X214" s="248"/>
      <c r="Y214" s="248"/>
      <c r="Z214" s="237" t="str">
        <f>BIN2HEX(RIGHT((LEFT(Z213,4)),4))</f>
        <v>0</v>
      </c>
    </row>
    <row r="215" spans="2:26" ht="13.5" thickTop="1">
      <c r="B215" s="249"/>
      <c r="C215" s="268" t="s">
        <v>400</v>
      </c>
      <c r="D215" s="251" t="s">
        <v>401</v>
      </c>
      <c r="E215" s="251" t="s">
        <v>402</v>
      </c>
      <c r="F215" s="251" t="s">
        <v>403</v>
      </c>
      <c r="G215" s="271"/>
      <c r="H215" s="271"/>
      <c r="I215" s="271"/>
      <c r="J215" s="271"/>
      <c r="K215" s="271"/>
      <c r="L215" s="271"/>
      <c r="M215" s="271"/>
      <c r="N215" s="271"/>
      <c r="O215" s="271"/>
      <c r="P215" s="272"/>
      <c r="Q215" s="272"/>
      <c r="R215" s="272"/>
      <c r="S215" s="272"/>
      <c r="T215" s="272"/>
      <c r="U215" s="272"/>
      <c r="V215" s="272"/>
      <c r="W215" s="272"/>
      <c r="X215" s="272"/>
      <c r="Y215" s="272"/>
      <c r="Z215" s="237" t="str">
        <f>BIN2HEX(RIGHT((LEFT(Z213,8)),4))</f>
        <v>0</v>
      </c>
    </row>
    <row r="216" spans="2:26">
      <c r="B216" s="255" t="s">
        <v>189</v>
      </c>
      <c r="C216" s="256">
        <v>14</v>
      </c>
      <c r="D216" s="257">
        <v>2</v>
      </c>
      <c r="E216" s="257">
        <v>11</v>
      </c>
      <c r="F216" s="257">
        <v>5</v>
      </c>
      <c r="G216" s="274"/>
      <c r="H216" s="274"/>
      <c r="I216" s="274"/>
      <c r="J216" s="274"/>
      <c r="K216" s="274"/>
      <c r="L216" s="274"/>
      <c r="M216" s="274"/>
      <c r="N216" s="274"/>
      <c r="O216" s="274"/>
      <c r="P216" s="272"/>
      <c r="Q216" s="272"/>
      <c r="R216" s="272"/>
      <c r="S216" s="272"/>
      <c r="T216" s="272"/>
      <c r="U216" s="272"/>
      <c r="V216" s="272"/>
      <c r="W216" s="272"/>
      <c r="X216" s="272"/>
      <c r="Y216" s="272"/>
      <c r="Z216" s="237" t="str">
        <f>BIN2HEX(RIGHT((LEFT(Z213,12)),4))</f>
        <v>0</v>
      </c>
    </row>
    <row r="217" spans="2:26">
      <c r="B217" s="262" t="s">
        <v>16</v>
      </c>
      <c r="C217" s="263">
        <v>0</v>
      </c>
      <c r="D217" s="259" t="str">
        <f>DEC2HEX(CEILING(MAX(tESCKE,tCMDCKE)/tCK/2,1))</f>
        <v>2</v>
      </c>
      <c r="E217" s="259">
        <v>0</v>
      </c>
      <c r="F217" s="259" t="str">
        <f>IF(Memory_Type="DDR4",DEC2HEX(CEILING(tMRD_PDA/tCK/2,1)),DEC2HEX(16))</f>
        <v>8</v>
      </c>
      <c r="G217" s="261"/>
      <c r="H217" s="261"/>
      <c r="I217" s="261"/>
      <c r="J217" s="261"/>
      <c r="K217" s="261"/>
      <c r="L217" s="261"/>
      <c r="M217" s="261"/>
      <c r="N217" s="261"/>
      <c r="O217" s="261"/>
      <c r="P217" s="261"/>
      <c r="Q217" s="261"/>
      <c r="R217" s="261"/>
      <c r="S217" s="261"/>
      <c r="T217" s="261"/>
      <c r="U217" s="261"/>
      <c r="V217" s="261"/>
      <c r="W217" s="261"/>
      <c r="X217" s="261"/>
      <c r="Y217" s="261"/>
      <c r="Z217" s="237" t="str">
        <f>BIN2HEX(RIGHT((LEFT(Z213,16)),4))</f>
        <v>2</v>
      </c>
    </row>
    <row r="218" spans="2:26" ht="13.5" thickBot="1">
      <c r="B218" s="264" t="s">
        <v>17</v>
      </c>
      <c r="C218" s="277" t="s">
        <v>417</v>
      </c>
      <c r="D218" s="265" t="str">
        <f>HEX2BIN(D217,D216)</f>
        <v>10</v>
      </c>
      <c r="E218" s="277" t="s">
        <v>254</v>
      </c>
      <c r="F218" s="265" t="str">
        <f>HEX2BIN(F217,F216)</f>
        <v>01000</v>
      </c>
      <c r="G218" s="261"/>
      <c r="H218" s="261"/>
      <c r="I218" s="261"/>
      <c r="J218" s="261"/>
      <c r="K218" s="261"/>
      <c r="L218" s="261"/>
      <c r="M218" s="261"/>
      <c r="N218" s="261"/>
      <c r="O218" s="261"/>
      <c r="P218" s="261"/>
      <c r="Q218" s="261"/>
      <c r="R218" s="261"/>
      <c r="S218" s="261"/>
      <c r="T218" s="261"/>
      <c r="U218" s="261"/>
      <c r="V218" s="261"/>
      <c r="W218" s="261"/>
      <c r="X218" s="261"/>
      <c r="Y218" s="261"/>
      <c r="Z218" s="237" t="str">
        <f>BIN2HEX(RIGHT((LEFT(Z213,20)),4))</f>
        <v>0</v>
      </c>
    </row>
    <row r="219" spans="2:26" ht="13.5" thickBot="1">
      <c r="B219" s="266" t="s">
        <v>18</v>
      </c>
      <c r="C219" s="267" t="str">
        <f>CONCATENATE("0x",Z214,Z215,Z216,Z217,Z218,Z219,Z220,Z221)</f>
        <v>0x00020008</v>
      </c>
      <c r="I219" s="278"/>
      <c r="J219" s="278"/>
      <c r="Z219" s="237" t="str">
        <f>BIN2HEX(RIGHT((LEFT(Z213,24)),4))</f>
        <v>0</v>
      </c>
    </row>
    <row r="220" spans="2:26">
      <c r="I220" s="278"/>
      <c r="J220" s="278"/>
      <c r="Z220" s="237" t="str">
        <f>BIN2HEX(RIGHT((LEFT(Z213,28)),4))</f>
        <v>0</v>
      </c>
    </row>
    <row r="221" spans="2:26">
      <c r="I221" s="278"/>
      <c r="J221" s="278"/>
      <c r="Z221" s="237" t="str">
        <f>BIN2HEX(RIGHT((LEFT(Z213,33)),4))</f>
        <v>8</v>
      </c>
    </row>
    <row r="222" spans="2:26">
      <c r="Z222" s="248" t="s">
        <v>392</v>
      </c>
    </row>
    <row r="223" spans="2:26" ht="13.5" thickBot="1">
      <c r="Z223" s="237" t="str">
        <f>CONCATENATE(C228,D228,E228,F228,G228,H228)</f>
        <v>00001011000100000000000000000010</v>
      </c>
    </row>
    <row r="224" spans="2:26" ht="13.5" thickBot="1">
      <c r="B224" s="245" t="s">
        <v>881</v>
      </c>
      <c r="C224" s="246"/>
      <c r="D224" s="246"/>
      <c r="E224" s="246"/>
      <c r="F224" s="246"/>
      <c r="G224" s="246"/>
      <c r="H224" s="246"/>
      <c r="I224" s="276"/>
      <c r="J224" s="276"/>
      <c r="K224" s="276"/>
      <c r="L224" s="276"/>
      <c r="M224" s="276"/>
      <c r="N224" s="276"/>
      <c r="O224" s="276"/>
      <c r="P224" s="248"/>
      <c r="Q224" s="248"/>
      <c r="R224" s="248"/>
      <c r="S224" s="248"/>
      <c r="T224" s="248"/>
      <c r="U224" s="248"/>
      <c r="V224" s="248"/>
      <c r="W224" s="248"/>
      <c r="X224" s="248"/>
      <c r="Y224" s="248"/>
      <c r="Z224" s="237" t="str">
        <f>BIN2HEX(RIGHT((LEFT(Z223,4)),4))</f>
        <v>0</v>
      </c>
    </row>
    <row r="225" spans="2:26" ht="13.5" thickTop="1">
      <c r="B225" s="249"/>
      <c r="C225" s="268" t="s">
        <v>87</v>
      </c>
      <c r="D225" s="251" t="s">
        <v>404</v>
      </c>
      <c r="E225" s="251" t="s">
        <v>323</v>
      </c>
      <c r="F225" s="251" t="s">
        <v>405</v>
      </c>
      <c r="G225" s="251" t="s">
        <v>406</v>
      </c>
      <c r="H225" s="251" t="s">
        <v>407</v>
      </c>
      <c r="I225" s="271"/>
      <c r="J225" s="271"/>
      <c r="K225" s="271"/>
      <c r="L225" s="271"/>
      <c r="M225" s="271"/>
      <c r="N225" s="271"/>
      <c r="O225" s="271"/>
      <c r="P225" s="272"/>
      <c r="Q225" s="272"/>
      <c r="R225" s="272"/>
      <c r="S225" s="272"/>
      <c r="T225" s="272"/>
      <c r="U225" s="272"/>
      <c r="V225" s="272"/>
      <c r="W225" s="272"/>
      <c r="X225" s="272"/>
      <c r="Y225" s="272"/>
      <c r="Z225" s="237" t="str">
        <f>BIN2HEX(RIGHT((LEFT(Z223,8)),4))</f>
        <v>B</v>
      </c>
    </row>
    <row r="226" spans="2:26">
      <c r="B226" s="255" t="s">
        <v>189</v>
      </c>
      <c r="C226" s="256">
        <v>1</v>
      </c>
      <c r="D226" s="257">
        <v>7</v>
      </c>
      <c r="E226" s="257">
        <v>2</v>
      </c>
      <c r="F226" s="257">
        <v>6</v>
      </c>
      <c r="G226" s="257">
        <v>13</v>
      </c>
      <c r="H226" s="257">
        <v>3</v>
      </c>
      <c r="I226" s="274"/>
      <c r="J226" s="274"/>
      <c r="K226" s="274"/>
      <c r="L226" s="274"/>
      <c r="M226" s="274"/>
      <c r="N226" s="274"/>
      <c r="O226" s="274"/>
      <c r="P226" s="272"/>
      <c r="Q226" s="272"/>
      <c r="R226" s="272"/>
      <c r="S226" s="272"/>
      <c r="T226" s="272"/>
      <c r="U226" s="272"/>
      <c r="V226" s="272"/>
      <c r="W226" s="272"/>
      <c r="X226" s="272"/>
      <c r="Y226" s="272"/>
      <c r="Z226" s="237" t="str">
        <f>BIN2HEX(RIGHT((LEFT(Z223,12)),4))</f>
        <v>1</v>
      </c>
    </row>
    <row r="227" spans="2:26">
      <c r="B227" s="262" t="s">
        <v>16</v>
      </c>
      <c r="C227" s="263">
        <v>0</v>
      </c>
      <c r="D227" s="259" t="str">
        <f>DEC2HEX(CEILING(tODTLoff/tCK/2,1))</f>
        <v>B</v>
      </c>
      <c r="E227" s="259">
        <v>0</v>
      </c>
      <c r="F227" s="259" t="str">
        <f>DEC2HEX(CEILING(tCCDMW/tCK/2,1))</f>
        <v>10</v>
      </c>
      <c r="G227" s="259">
        <v>0</v>
      </c>
      <c r="H227" s="259" t="str">
        <f>DEC2HEX(CEILING(tPPD/tCK/2,1))</f>
        <v>2</v>
      </c>
      <c r="I227" s="261"/>
      <c r="J227" s="261"/>
      <c r="K227" s="261"/>
      <c r="L227" s="261"/>
      <c r="M227" s="261"/>
      <c r="N227" s="261"/>
      <c r="O227" s="261"/>
      <c r="P227" s="261"/>
      <c r="Q227" s="261"/>
      <c r="R227" s="261"/>
      <c r="S227" s="261"/>
      <c r="T227" s="261"/>
      <c r="U227" s="261"/>
      <c r="V227" s="261"/>
      <c r="W227" s="261"/>
      <c r="X227" s="261"/>
      <c r="Y227" s="261"/>
      <c r="Z227" s="237" t="str">
        <f>BIN2HEX(RIGHT((LEFT(Z223,16)),4))</f>
        <v>0</v>
      </c>
    </row>
    <row r="228" spans="2:26" ht="13.5" thickBot="1">
      <c r="B228" s="264" t="s">
        <v>17</v>
      </c>
      <c r="C228" s="265" t="str">
        <f>HEX2BIN(C227,C226)</f>
        <v>0</v>
      </c>
      <c r="D228" s="265" t="str">
        <f>HEX2BIN(D227,D226)</f>
        <v>0001011</v>
      </c>
      <c r="E228" s="265" t="str">
        <f>HEX2BIN(E227,E226)</f>
        <v>00</v>
      </c>
      <c r="F228" s="265" t="str">
        <f>HEX2BIN(F227,F226)</f>
        <v>010000</v>
      </c>
      <c r="G228" s="277" t="s">
        <v>408</v>
      </c>
      <c r="H228" s="265" t="str">
        <f>HEX2BIN(H227,H226)</f>
        <v>010</v>
      </c>
      <c r="I228" s="261"/>
      <c r="J228" s="261"/>
      <c r="K228" s="261"/>
      <c r="L228" s="261"/>
      <c r="M228" s="261"/>
      <c r="N228" s="261"/>
      <c r="O228" s="261"/>
      <c r="P228" s="261"/>
      <c r="Q228" s="261"/>
      <c r="R228" s="261"/>
      <c r="S228" s="261"/>
      <c r="T228" s="261"/>
      <c r="U228" s="261"/>
      <c r="V228" s="261"/>
      <c r="W228" s="261"/>
      <c r="X228" s="261"/>
      <c r="Y228" s="261"/>
      <c r="Z228" s="237" t="str">
        <f>BIN2HEX(RIGHT((LEFT(Z223,20)),4))</f>
        <v>0</v>
      </c>
    </row>
    <row r="229" spans="2:26" ht="13.5" thickBot="1">
      <c r="B229" s="266" t="s">
        <v>18</v>
      </c>
      <c r="C229" s="267" t="str">
        <f>CONCATENATE("0x",Z224,Z225,Z226,Z227,Z228,Z229,Z230,Z231)</f>
        <v>0x0B100002</v>
      </c>
      <c r="I229" s="278"/>
      <c r="J229" s="278"/>
      <c r="Z229" s="237" t="str">
        <f>BIN2HEX(RIGHT((LEFT(Z223,24)),4))</f>
        <v>0</v>
      </c>
    </row>
    <row r="230" spans="2:26">
      <c r="I230" s="278"/>
      <c r="J230" s="278"/>
      <c r="Z230" s="237" t="str">
        <f>BIN2HEX(RIGHT((LEFT(Z223,28)),4))</f>
        <v>0</v>
      </c>
    </row>
    <row r="231" spans="2:26">
      <c r="I231" s="278"/>
      <c r="J231" s="278"/>
      <c r="Z231" s="237" t="str">
        <f>BIN2HEX(RIGHT((LEFT(Z223,33)),4))</f>
        <v>2</v>
      </c>
    </row>
    <row r="232" spans="2:26">
      <c r="Z232" s="248" t="s">
        <v>392</v>
      </c>
    </row>
    <row r="233" spans="2:26" ht="13.5" thickBot="1">
      <c r="Z233" s="237" t="str">
        <f>CONCATENATE(C238,D238)</f>
        <v>00000000000000000000000001111000</v>
      </c>
    </row>
    <row r="234" spans="2:26" ht="13.5" thickBot="1">
      <c r="B234" s="245" t="s">
        <v>777</v>
      </c>
      <c r="C234" s="246"/>
      <c r="D234" s="246"/>
      <c r="E234" s="276"/>
      <c r="F234" s="276"/>
      <c r="G234" s="276"/>
      <c r="H234" s="276"/>
      <c r="I234" s="276"/>
      <c r="J234" s="276"/>
      <c r="K234" s="276"/>
      <c r="L234" s="248"/>
      <c r="M234" s="248"/>
      <c r="N234" s="248"/>
      <c r="O234" s="248"/>
      <c r="P234" s="248"/>
      <c r="Q234" s="248"/>
      <c r="R234" s="248"/>
      <c r="S234" s="248"/>
      <c r="T234" s="248"/>
      <c r="U234" s="248"/>
      <c r="V234" s="248"/>
      <c r="W234" s="248"/>
      <c r="X234" s="248"/>
      <c r="Y234" s="248"/>
      <c r="Z234" s="237" t="str">
        <f>BIN2HEX(RIGHT((LEFT(Z233,4)),4))</f>
        <v>0</v>
      </c>
    </row>
    <row r="235" spans="2:26" ht="13.5" thickTop="1">
      <c r="B235" s="249"/>
      <c r="C235" s="251" t="s">
        <v>1312</v>
      </c>
      <c r="D235" s="251" t="s">
        <v>1311</v>
      </c>
      <c r="E235" s="271"/>
      <c r="F235" s="271"/>
      <c r="G235" s="271"/>
      <c r="H235" s="271"/>
      <c r="I235" s="271"/>
      <c r="J235" s="271"/>
      <c r="K235" s="271"/>
      <c r="L235" s="272"/>
      <c r="M235" s="272"/>
      <c r="N235" s="272"/>
      <c r="O235" s="272"/>
      <c r="P235" s="272"/>
      <c r="Q235" s="272"/>
      <c r="R235" s="272"/>
      <c r="S235" s="272"/>
      <c r="T235" s="272"/>
      <c r="U235" s="272"/>
      <c r="V235" s="272"/>
      <c r="W235" s="272"/>
      <c r="X235" s="272"/>
      <c r="Y235" s="272"/>
      <c r="Z235" s="237" t="str">
        <f>BIN2HEX(RIGHT((LEFT(Z233,8)),4))</f>
        <v>0</v>
      </c>
    </row>
    <row r="236" spans="2:26">
      <c r="B236" s="255" t="s">
        <v>189</v>
      </c>
      <c r="C236" s="257">
        <v>20</v>
      </c>
      <c r="D236" s="257">
        <v>12</v>
      </c>
      <c r="E236" s="274"/>
      <c r="F236" s="274"/>
      <c r="G236" s="274"/>
      <c r="H236" s="274"/>
      <c r="I236" s="274"/>
      <c r="J236" s="274"/>
      <c r="K236" s="274"/>
      <c r="L236" s="272"/>
      <c r="M236" s="272"/>
      <c r="N236" s="272"/>
      <c r="O236" s="272"/>
      <c r="P236" s="272"/>
      <c r="Q236" s="272"/>
      <c r="R236" s="272"/>
      <c r="S236" s="272"/>
      <c r="T236" s="272"/>
      <c r="U236" s="272"/>
      <c r="V236" s="272"/>
      <c r="W236" s="272"/>
      <c r="X236" s="272"/>
      <c r="Y236" s="272"/>
      <c r="Z236" s="237" t="str">
        <f>BIN2HEX(RIGHT((LEFT(Z233,12)),4))</f>
        <v>0</v>
      </c>
    </row>
    <row r="237" spans="2:26">
      <c r="B237" s="262" t="s">
        <v>16</v>
      </c>
      <c r="C237" s="259">
        <v>0</v>
      </c>
      <c r="D237" s="259" t="str">
        <f>DEC2HEX(CEILING(tXSR/tCK/2,1),3)</f>
        <v>078</v>
      </c>
      <c r="E237" s="261"/>
      <c r="F237" s="261"/>
      <c r="G237" s="261"/>
      <c r="H237" s="261"/>
      <c r="I237" s="261"/>
      <c r="J237" s="261"/>
      <c r="K237" s="261"/>
      <c r="L237" s="261"/>
      <c r="M237" s="261"/>
      <c r="N237" s="261"/>
      <c r="O237" s="261"/>
      <c r="P237" s="261"/>
      <c r="Q237" s="261"/>
      <c r="R237" s="261"/>
      <c r="S237" s="261"/>
      <c r="T237" s="261"/>
      <c r="U237" s="261"/>
      <c r="V237" s="261"/>
      <c r="W237" s="261"/>
      <c r="X237" s="261"/>
      <c r="Y237" s="261"/>
      <c r="Z237" s="237" t="str">
        <f>BIN2HEX(RIGHT((LEFT(Z233,16)),4))</f>
        <v>0</v>
      </c>
    </row>
    <row r="238" spans="2:26" ht="13.5" thickBot="1">
      <c r="B238" s="264" t="s">
        <v>17</v>
      </c>
      <c r="C238" s="277" t="s">
        <v>383</v>
      </c>
      <c r="D238" s="265" t="str">
        <f>CONCATENATE(HEX2BIN(LEFT(D237,2),8),HEX2BIN(RIGHT(LEFT(D237,4),1),4))</f>
        <v>000001111000</v>
      </c>
      <c r="E238" s="261"/>
      <c r="F238" s="261"/>
      <c r="G238" s="261"/>
      <c r="H238" s="261"/>
      <c r="I238" s="261"/>
      <c r="J238" s="261"/>
      <c r="K238" s="261"/>
      <c r="L238" s="261"/>
      <c r="M238" s="261"/>
      <c r="N238" s="261"/>
      <c r="O238" s="261"/>
      <c r="P238" s="261"/>
      <c r="Q238" s="261"/>
      <c r="R238" s="261"/>
      <c r="S238" s="261"/>
      <c r="T238" s="261"/>
      <c r="U238" s="261"/>
      <c r="V238" s="261"/>
      <c r="W238" s="261"/>
      <c r="X238" s="261"/>
      <c r="Y238" s="261"/>
      <c r="Z238" s="237" t="str">
        <f>BIN2HEX(RIGHT((LEFT(Z233,20)),4))</f>
        <v>0</v>
      </c>
    </row>
    <row r="239" spans="2:26" ht="13.5" thickBot="1">
      <c r="B239" s="266" t="s">
        <v>18</v>
      </c>
      <c r="C239" s="267" t="str">
        <f>CONCATENATE("0x",Z234,Z235,Z236,Z237,Z238,Z239,Z240,Z241)</f>
        <v>0x00000078</v>
      </c>
      <c r="I239" s="278"/>
      <c r="J239" s="278"/>
      <c r="Z239" s="237" t="str">
        <f>BIN2HEX(RIGHT((LEFT(Z233,24)),4))</f>
        <v>0</v>
      </c>
    </row>
    <row r="240" spans="2:26">
      <c r="I240" s="278"/>
      <c r="J240" s="278"/>
      <c r="Z240" s="237" t="str">
        <f>BIN2HEX(RIGHT((LEFT(Z233,28)),4))</f>
        <v>7</v>
      </c>
    </row>
    <row r="241" spans="2:26">
      <c r="I241" s="278"/>
      <c r="J241" s="278"/>
      <c r="Z241" s="237" t="str">
        <f>BIN2HEX(RIGHT((LEFT(Z233,33)),4))</f>
        <v>8</v>
      </c>
    </row>
    <row r="242" spans="2:26">
      <c r="Z242" s="248" t="s">
        <v>393</v>
      </c>
    </row>
    <row r="243" spans="2:26" ht="13.5" thickBot="1">
      <c r="Z243" s="237" t="str">
        <f>CONCATENATE(C248,D248,E248)</f>
        <v>00000000000000000000000000110101</v>
      </c>
    </row>
    <row r="244" spans="2:26" ht="13.5" thickBot="1">
      <c r="B244" s="245" t="s">
        <v>882</v>
      </c>
      <c r="C244" s="246"/>
      <c r="D244" s="246"/>
      <c r="E244" s="246"/>
      <c r="F244" s="276"/>
      <c r="G244" s="276"/>
      <c r="H244" s="276"/>
      <c r="I244" s="276"/>
      <c r="J244" s="276"/>
      <c r="K244" s="276"/>
      <c r="L244" s="276"/>
      <c r="M244" s="276"/>
      <c r="N244" s="276"/>
      <c r="O244" s="276"/>
      <c r="P244" s="248"/>
      <c r="Q244" s="248"/>
      <c r="R244" s="248"/>
      <c r="S244" s="248"/>
      <c r="T244" s="248"/>
      <c r="U244" s="248"/>
      <c r="V244" s="248"/>
      <c r="W244" s="248"/>
      <c r="X244" s="248"/>
      <c r="Y244" s="248"/>
      <c r="Z244" s="237" t="str">
        <f>BIN2HEX(RIGHT((LEFT(Z243,4)),4))</f>
        <v>0</v>
      </c>
    </row>
    <row r="245" spans="2:26" ht="13.5" thickTop="1">
      <c r="B245" s="249"/>
      <c r="C245" s="268" t="s">
        <v>409</v>
      </c>
      <c r="D245" s="251" t="s">
        <v>410</v>
      </c>
      <c r="E245" s="251" t="s">
        <v>411</v>
      </c>
      <c r="F245" s="271"/>
      <c r="G245" s="271"/>
      <c r="H245" s="271"/>
      <c r="I245" s="271"/>
      <c r="J245" s="271"/>
      <c r="K245" s="271"/>
      <c r="L245" s="271"/>
      <c r="M245" s="271"/>
      <c r="N245" s="271"/>
      <c r="O245" s="271"/>
      <c r="P245" s="272"/>
      <c r="Q245" s="272"/>
      <c r="R245" s="272"/>
      <c r="S245" s="272"/>
      <c r="T245" s="272"/>
      <c r="U245" s="272"/>
      <c r="V245" s="272"/>
      <c r="W245" s="272"/>
      <c r="X245" s="272"/>
      <c r="Y245" s="272"/>
      <c r="Z245" s="237" t="str">
        <f>BIN2HEX(RIGHT((LEFT(Z243,8)),4))</f>
        <v>0</v>
      </c>
    </row>
    <row r="246" spans="2:26">
      <c r="B246" s="255" t="s">
        <v>189</v>
      </c>
      <c r="C246" s="256">
        <v>1</v>
      </c>
      <c r="D246" s="257">
        <v>23</v>
      </c>
      <c r="E246" s="257">
        <v>8</v>
      </c>
      <c r="F246" s="274"/>
      <c r="G246" s="274"/>
      <c r="H246" s="274"/>
      <c r="I246" s="274"/>
      <c r="J246" s="274"/>
      <c r="K246" s="274"/>
      <c r="L246" s="274"/>
      <c r="M246" s="274"/>
      <c r="N246" s="274"/>
      <c r="O246" s="274"/>
      <c r="P246" s="272"/>
      <c r="Q246" s="272"/>
      <c r="R246" s="272"/>
      <c r="S246" s="272"/>
      <c r="T246" s="272"/>
      <c r="U246" s="272"/>
      <c r="V246" s="272"/>
      <c r="W246" s="272"/>
      <c r="X246" s="272"/>
      <c r="Y246" s="272"/>
      <c r="Z246" s="237" t="str">
        <f>BIN2HEX(RIGHT((LEFT(Z243,12)),4))</f>
        <v>0</v>
      </c>
    </row>
    <row r="247" spans="2:26">
      <c r="B247" s="262" t="s">
        <v>16</v>
      </c>
      <c r="C247" s="263">
        <v>0</v>
      </c>
      <c r="D247" s="259">
        <v>0</v>
      </c>
      <c r="E247" s="259" t="str">
        <f>DEC2HEX(CEILING(5000/tCK/2/32,1))</f>
        <v>35</v>
      </c>
      <c r="F247" s="261"/>
      <c r="G247" s="261"/>
      <c r="H247" s="261"/>
      <c r="I247" s="261"/>
      <c r="J247" s="261"/>
      <c r="K247" s="261"/>
      <c r="L247" s="261"/>
      <c r="M247" s="261"/>
      <c r="N247" s="261"/>
      <c r="O247" s="261"/>
      <c r="P247" s="261"/>
      <c r="Q247" s="261"/>
      <c r="R247" s="261"/>
      <c r="S247" s="261"/>
      <c r="T247" s="261"/>
      <c r="U247" s="261"/>
      <c r="V247" s="261"/>
      <c r="W247" s="261"/>
      <c r="X247" s="261"/>
      <c r="Y247" s="261"/>
      <c r="Z247" s="237" t="str">
        <f>BIN2HEX(RIGHT((LEFT(Z243,16)),4))</f>
        <v>0</v>
      </c>
    </row>
    <row r="248" spans="2:26" ht="13.5" thickBot="1">
      <c r="B248" s="264" t="s">
        <v>17</v>
      </c>
      <c r="C248" s="265" t="str">
        <f>HEX2BIN(C247,C246)</f>
        <v>0</v>
      </c>
      <c r="D248" s="277" t="s">
        <v>412</v>
      </c>
      <c r="E248" s="265" t="str">
        <f>HEX2BIN(E247,E246)</f>
        <v>00110101</v>
      </c>
      <c r="F248" s="279"/>
      <c r="G248" s="279"/>
      <c r="H248" s="279"/>
      <c r="I248" s="279"/>
      <c r="J248" s="279"/>
      <c r="K248" s="261"/>
      <c r="L248" s="261"/>
      <c r="M248" s="261"/>
      <c r="N248" s="261"/>
      <c r="O248" s="261"/>
      <c r="P248" s="261"/>
      <c r="Q248" s="261"/>
      <c r="R248" s="261"/>
      <c r="S248" s="261"/>
      <c r="T248" s="261"/>
      <c r="U248" s="261"/>
      <c r="V248" s="261"/>
      <c r="W248" s="261"/>
      <c r="X248" s="261"/>
      <c r="Y248" s="261"/>
      <c r="Z248" s="237" t="str">
        <f>BIN2HEX(RIGHT((LEFT(Z243,20)),4))</f>
        <v>0</v>
      </c>
    </row>
    <row r="249" spans="2:26" ht="13.5" thickBot="1">
      <c r="B249" s="266" t="s">
        <v>18</v>
      </c>
      <c r="C249" s="267" t="str">
        <f>CONCATENATE("0x",Z244,Z245,Z246,Z247,Z248,Z249,Z250,Z251)</f>
        <v>0x00000035</v>
      </c>
      <c r="I249" s="278"/>
      <c r="J249" s="278"/>
      <c r="Z249" s="237" t="str">
        <f>BIN2HEX(RIGHT((LEFT(Z243,24)),4))</f>
        <v>0</v>
      </c>
    </row>
    <row r="250" spans="2:26">
      <c r="I250" s="278"/>
      <c r="J250" s="278"/>
      <c r="Z250" s="237" t="str">
        <f>BIN2HEX(RIGHT((LEFT(Z243,28)),4))</f>
        <v>3</v>
      </c>
    </row>
    <row r="251" spans="2:26">
      <c r="I251" s="278"/>
      <c r="J251" s="278"/>
      <c r="Z251" s="237" t="str">
        <f>BIN2HEX(RIGHT((LEFT(Z243,33)),4))</f>
        <v>5</v>
      </c>
    </row>
    <row r="252" spans="2:26">
      <c r="Z252" s="248" t="s">
        <v>394</v>
      </c>
    </row>
    <row r="253" spans="2:26" ht="13.5" thickBot="1">
      <c r="Z253" s="237" t="str">
        <f>CONCATENATE(C258,D258,E258,F258)</f>
        <v>00000000010000110000000000100010</v>
      </c>
    </row>
    <row r="254" spans="2:26" ht="13.5" thickBot="1">
      <c r="B254" s="245" t="s">
        <v>883</v>
      </c>
      <c r="C254" s="246"/>
      <c r="D254" s="246"/>
      <c r="E254" s="246"/>
      <c r="F254" s="246"/>
      <c r="G254" s="276"/>
      <c r="H254" s="276"/>
      <c r="I254" s="276"/>
      <c r="J254" s="276"/>
      <c r="K254" s="276"/>
      <c r="L254" s="276"/>
      <c r="M254" s="276"/>
      <c r="N254" s="276"/>
      <c r="O254" s="276"/>
      <c r="P254" s="248"/>
      <c r="Q254" s="248"/>
      <c r="R254" s="248"/>
      <c r="S254" s="248"/>
      <c r="T254" s="248"/>
      <c r="U254" s="248"/>
      <c r="V254" s="248"/>
      <c r="W254" s="248"/>
      <c r="X254" s="248"/>
      <c r="Y254" s="248"/>
      <c r="Z254" s="237" t="str">
        <f>BIN2HEX(RIGHT((LEFT(Z253,4)),4))</f>
        <v>0</v>
      </c>
    </row>
    <row r="255" spans="2:26" ht="13.5" thickTop="1">
      <c r="B255" s="249"/>
      <c r="C255" s="280" t="s">
        <v>413</v>
      </c>
      <c r="D255" s="268" t="s">
        <v>416</v>
      </c>
      <c r="E255" s="251" t="s">
        <v>414</v>
      </c>
      <c r="F255" s="251" t="s">
        <v>415</v>
      </c>
      <c r="G255" s="271"/>
      <c r="H255" s="271"/>
      <c r="I255" s="271"/>
      <c r="J255" s="271"/>
      <c r="K255" s="271"/>
      <c r="L255" s="271"/>
      <c r="M255" s="271"/>
      <c r="N255" s="271"/>
      <c r="O255" s="271"/>
      <c r="P255" s="272"/>
      <c r="Q255" s="272"/>
      <c r="R255" s="272"/>
      <c r="S255" s="272"/>
      <c r="T255" s="272"/>
      <c r="U255" s="272"/>
      <c r="V255" s="272"/>
      <c r="W255" s="272"/>
      <c r="X255" s="272"/>
      <c r="Y255" s="272"/>
      <c r="Z255" s="237" t="str">
        <f>BIN2HEX(RIGHT((LEFT(Z253,8)),4))</f>
        <v>0</v>
      </c>
    </row>
    <row r="256" spans="2:26">
      <c r="B256" s="255" t="s">
        <v>189</v>
      </c>
      <c r="C256" s="256">
        <v>8</v>
      </c>
      <c r="D256" s="257">
        <v>8</v>
      </c>
      <c r="E256" s="257">
        <v>9</v>
      </c>
      <c r="F256" s="257">
        <v>7</v>
      </c>
      <c r="G256" s="274"/>
      <c r="H256" s="274"/>
      <c r="I256" s="274"/>
      <c r="J256" s="274"/>
      <c r="K256" s="274"/>
      <c r="L256" s="274"/>
      <c r="M256" s="274"/>
      <c r="N256" s="274"/>
      <c r="O256" s="274"/>
      <c r="P256" s="272"/>
      <c r="Q256" s="272"/>
      <c r="R256" s="272"/>
      <c r="S256" s="272"/>
      <c r="T256" s="272"/>
      <c r="U256" s="272"/>
      <c r="V256" s="272"/>
      <c r="W256" s="272"/>
      <c r="X256" s="272"/>
      <c r="Y256" s="272"/>
      <c r="Z256" s="237" t="str">
        <f>BIN2HEX(RIGHT((LEFT(Z253,12)),4))</f>
        <v>4</v>
      </c>
    </row>
    <row r="257" spans="2:26">
      <c r="B257" s="262" t="s">
        <v>16</v>
      </c>
      <c r="C257" s="263">
        <v>0</v>
      </c>
      <c r="D257" s="259" t="str">
        <f>DEC2HEX(CEILING(tVRCG_ENABLE/tCK/2,1))</f>
        <v>43</v>
      </c>
      <c r="E257" s="259">
        <v>0</v>
      </c>
      <c r="F257" s="259" t="str">
        <f>DEC2HEX(CEILING(tVRCG_DISABLE/tCK/2,1))</f>
        <v>22</v>
      </c>
      <c r="G257" s="261"/>
      <c r="H257" s="261"/>
      <c r="I257" s="261"/>
      <c r="J257" s="261"/>
      <c r="K257" s="261"/>
      <c r="L257" s="261"/>
      <c r="M257" s="261"/>
      <c r="N257" s="261"/>
      <c r="O257" s="261"/>
      <c r="P257" s="261"/>
      <c r="Q257" s="261"/>
      <c r="R257" s="261"/>
      <c r="S257" s="261"/>
      <c r="T257" s="261"/>
      <c r="U257" s="261"/>
      <c r="V257" s="261"/>
      <c r="W257" s="261"/>
      <c r="X257" s="261"/>
      <c r="Y257" s="261"/>
      <c r="Z257" s="237" t="str">
        <f>BIN2HEX(RIGHT((LEFT(Z253,16)),4))</f>
        <v>3</v>
      </c>
    </row>
    <row r="258" spans="2:26" ht="13.5" thickBot="1">
      <c r="B258" s="264" t="s">
        <v>17</v>
      </c>
      <c r="C258" s="265" t="str">
        <f>HEX2BIN(C257,C256)</f>
        <v>00000000</v>
      </c>
      <c r="D258" s="265" t="str">
        <f>HEX2BIN(D257,D256)</f>
        <v>01000011</v>
      </c>
      <c r="E258" s="265" t="str">
        <f>HEX2BIN(E257,E256)</f>
        <v>000000000</v>
      </c>
      <c r="F258" s="265" t="str">
        <f>HEX2BIN(F257,F256)</f>
        <v>0100010</v>
      </c>
      <c r="G258" s="261"/>
      <c r="H258" s="261"/>
      <c r="I258" s="261"/>
      <c r="J258" s="261"/>
      <c r="K258" s="261"/>
      <c r="L258" s="261"/>
      <c r="M258" s="261"/>
      <c r="N258" s="261"/>
      <c r="O258" s="261"/>
      <c r="P258" s="261"/>
      <c r="Q258" s="261"/>
      <c r="R258" s="261"/>
      <c r="S258" s="261"/>
      <c r="T258" s="261"/>
      <c r="U258" s="261"/>
      <c r="V258" s="261"/>
      <c r="W258" s="261"/>
      <c r="X258" s="261"/>
      <c r="Y258" s="261"/>
      <c r="Z258" s="237" t="str">
        <f>BIN2HEX(RIGHT((LEFT(Z253,20)),4))</f>
        <v>0</v>
      </c>
    </row>
    <row r="259" spans="2:26" ht="13.5" thickBot="1">
      <c r="B259" s="266" t="s">
        <v>18</v>
      </c>
      <c r="C259" s="267" t="str">
        <f>CONCATENATE("0x",Z254,Z255,Z256,Z257,Z258,Z259,Z260,Z261)</f>
        <v>0x00430022</v>
      </c>
      <c r="I259" s="278"/>
      <c r="J259" s="278"/>
      <c r="Z259" s="237" t="str">
        <f>BIN2HEX(RIGHT((LEFT(Z253,24)),4))</f>
        <v>0</v>
      </c>
    </row>
    <row r="260" spans="2:26">
      <c r="I260" s="278"/>
      <c r="J260" s="278"/>
      <c r="Z260" s="237" t="str">
        <f>BIN2HEX(RIGHT((LEFT(Z253,28)),4))</f>
        <v>2</v>
      </c>
    </row>
    <row r="261" spans="2:26">
      <c r="I261" s="278"/>
      <c r="J261" s="278"/>
      <c r="Z261" s="237" t="str">
        <f>BIN2HEX(RIGHT((LEFT(Z253,33)),4))</f>
        <v>2</v>
      </c>
    </row>
    <row r="262" spans="2:26">
      <c r="Z262" s="248" t="s">
        <v>544</v>
      </c>
    </row>
    <row r="263" spans="2:26" ht="13.5" thickBot="1">
      <c r="Z263" s="237" t="str">
        <f>CONCATENATE(C268,D268,E268,F268,G268)</f>
        <v>01000000000000010000000010100011</v>
      </c>
    </row>
    <row r="264" spans="2:26" ht="13.5" thickBot="1">
      <c r="B264" s="245" t="s">
        <v>884</v>
      </c>
      <c r="C264" s="246"/>
      <c r="D264" s="246"/>
      <c r="E264" s="246"/>
      <c r="F264" s="246"/>
      <c r="G264" s="246"/>
      <c r="H264" s="276"/>
      <c r="I264" s="276"/>
      <c r="J264" s="276"/>
      <c r="K264" s="276"/>
      <c r="L264" s="276"/>
      <c r="M264" s="276"/>
      <c r="N264" s="276"/>
      <c r="O264" s="276"/>
      <c r="P264" s="248"/>
      <c r="Q264" s="248"/>
      <c r="R264" s="248"/>
      <c r="S264" s="248"/>
      <c r="T264" s="248"/>
      <c r="U264" s="248"/>
      <c r="V264" s="248"/>
      <c r="W264" s="248"/>
      <c r="X264" s="248"/>
      <c r="Y264" s="248"/>
      <c r="Z264" s="237" t="str">
        <f>BIN2HEX(RIGHT((LEFT(Z263,4)),4))</f>
        <v>4</v>
      </c>
    </row>
    <row r="265" spans="2:26" ht="13.5" thickTop="1">
      <c r="B265" s="249"/>
      <c r="C265" s="280" t="s">
        <v>540</v>
      </c>
      <c r="D265" s="268" t="s">
        <v>541</v>
      </c>
      <c r="E265" s="251" t="s">
        <v>542</v>
      </c>
      <c r="F265" s="251" t="s">
        <v>359</v>
      </c>
      <c r="G265" s="251" t="s">
        <v>543</v>
      </c>
      <c r="H265" s="271"/>
      <c r="I265" s="271"/>
      <c r="J265" s="271"/>
      <c r="K265" s="271"/>
      <c r="L265" s="271"/>
      <c r="M265" s="271"/>
      <c r="N265" s="271"/>
      <c r="O265" s="271"/>
      <c r="P265" s="272"/>
      <c r="Q265" s="272"/>
      <c r="R265" s="272"/>
      <c r="S265" s="272"/>
      <c r="T265" s="272"/>
      <c r="U265" s="272"/>
      <c r="V265" s="272"/>
      <c r="W265" s="272"/>
      <c r="X265" s="272"/>
      <c r="Y265" s="272"/>
      <c r="Z265" s="237" t="str">
        <f>BIN2HEX(RIGHT((LEFT(Z263,8)),4))</f>
        <v>0</v>
      </c>
    </row>
    <row r="266" spans="2:26">
      <c r="B266" s="255" t="s">
        <v>189</v>
      </c>
      <c r="C266" s="256">
        <v>2</v>
      </c>
      <c r="D266" s="257">
        <v>4</v>
      </c>
      <c r="E266" s="257">
        <v>10</v>
      </c>
      <c r="F266" s="257">
        <v>4</v>
      </c>
      <c r="G266" s="257">
        <v>12</v>
      </c>
      <c r="H266" s="274"/>
      <c r="I266" s="274"/>
      <c r="J266" s="274"/>
      <c r="K266" s="274"/>
      <c r="L266" s="274"/>
      <c r="M266" s="274"/>
      <c r="N266" s="274"/>
      <c r="O266" s="274"/>
      <c r="P266" s="272"/>
      <c r="Q266" s="272"/>
      <c r="R266" s="272"/>
      <c r="S266" s="272"/>
      <c r="T266" s="272"/>
      <c r="U266" s="272"/>
      <c r="V266" s="272"/>
      <c r="W266" s="272"/>
      <c r="X266" s="272"/>
      <c r="Y266" s="272"/>
      <c r="Z266" s="237" t="str">
        <f>BIN2HEX(RIGHT((LEFT(Z263,12)),4))</f>
        <v>0</v>
      </c>
    </row>
    <row r="267" spans="2:26">
      <c r="B267" s="262" t="s">
        <v>16</v>
      </c>
      <c r="C267" s="263">
        <v>1</v>
      </c>
      <c r="D267" s="259">
        <v>0</v>
      </c>
      <c r="E267" s="259" t="str">
        <f>IF(Memory_Type="LPDDR4",DEC2HEX(CEILING(2000/tCK/2/1024,1)),DEC2HEX(CEILING(tXPR/tCK/2/1024,1)))</f>
        <v>1</v>
      </c>
      <c r="F267" s="259">
        <v>0</v>
      </c>
      <c r="G267" s="259" t="str">
        <f>IF(Memory_Type="LPDDR4",DEC2HEX(CEILING(2000000/tCK/2/1024,1),3),DEC2HEX(CEILING(500000/tCK/2/1024,1),3))</f>
        <v>0A3</v>
      </c>
      <c r="H267" s="261"/>
      <c r="I267" s="261"/>
      <c r="J267" s="261"/>
      <c r="K267" s="261"/>
      <c r="L267" s="261"/>
      <c r="M267" s="261"/>
      <c r="N267" s="261"/>
      <c r="O267" s="261"/>
      <c r="P267" s="261"/>
      <c r="Q267" s="261"/>
      <c r="R267" s="261"/>
      <c r="S267" s="261"/>
      <c r="T267" s="261"/>
      <c r="U267" s="261"/>
      <c r="V267" s="261"/>
      <c r="W267" s="261"/>
      <c r="X267" s="261"/>
      <c r="Y267" s="261"/>
      <c r="Z267" s="237" t="str">
        <f>BIN2HEX(RIGHT((LEFT(Z263,16)),4))</f>
        <v>1</v>
      </c>
    </row>
    <row r="268" spans="2:26" ht="13.5" thickBot="1">
      <c r="B268" s="264" t="s">
        <v>17</v>
      </c>
      <c r="C268" s="265" t="str">
        <f>HEX2BIN(C267,C266)</f>
        <v>01</v>
      </c>
      <c r="D268" s="265" t="str">
        <f>HEX2BIN(D267,D266)</f>
        <v>0000</v>
      </c>
      <c r="E268" s="265" t="str">
        <f>HEX2BIN(E267,E266)</f>
        <v>0000000001</v>
      </c>
      <c r="F268" s="265" t="str">
        <f>HEX2BIN(F267,F266)</f>
        <v>0000</v>
      </c>
      <c r="G268" s="265" t="str">
        <f>CONCATENATE(HEX2BIN(LEFT(G267,2),8),HEX2BIN(RIGHT(LEFT(G267,4),1),4))</f>
        <v>000010100011</v>
      </c>
      <c r="H268" s="261"/>
      <c r="I268" s="261"/>
      <c r="J268" s="261"/>
      <c r="K268" s="261"/>
      <c r="L268" s="261"/>
      <c r="M268" s="261"/>
      <c r="N268" s="261"/>
      <c r="O268" s="261"/>
      <c r="P268" s="261"/>
      <c r="Q268" s="261"/>
      <c r="R268" s="261"/>
      <c r="S268" s="261"/>
      <c r="T268" s="261"/>
      <c r="U268" s="261"/>
      <c r="V268" s="261"/>
      <c r="W268" s="261"/>
      <c r="X268" s="261"/>
      <c r="Y268" s="261"/>
      <c r="Z268" s="237" t="str">
        <f>BIN2HEX(RIGHT((LEFT(Z263,20)),4))</f>
        <v>0</v>
      </c>
    </row>
    <row r="269" spans="2:26" ht="13.5" thickBot="1">
      <c r="B269" s="266" t="s">
        <v>18</v>
      </c>
      <c r="C269" s="267" t="str">
        <f>CONCATENATE("0x",Z264,Z265,Z266,Z267,Z268,Z269,Z270,Z271)</f>
        <v>0x400100A3</v>
      </c>
      <c r="I269" s="278"/>
      <c r="J269" s="278"/>
      <c r="Z269" s="237" t="str">
        <f>BIN2HEX(RIGHT((LEFT(Z263,24)),4))</f>
        <v>0</v>
      </c>
    </row>
    <row r="270" spans="2:26">
      <c r="I270" s="278"/>
      <c r="J270" s="278"/>
      <c r="Z270" s="237" t="str">
        <f>BIN2HEX(RIGHT((LEFT(Z263,28)),4))</f>
        <v>A</v>
      </c>
    </row>
    <row r="271" spans="2:26">
      <c r="I271" s="278"/>
      <c r="J271" s="278"/>
      <c r="Z271" s="237" t="str">
        <f>BIN2HEX(RIGHT((LEFT(Z263,33)),4))</f>
        <v>3</v>
      </c>
    </row>
    <row r="272" spans="2:26">
      <c r="Z272" s="248" t="s">
        <v>608</v>
      </c>
    </row>
    <row r="273" spans="2:26" ht="13.5" thickBot="1">
      <c r="Z273" s="237" t="str">
        <f>CONCATENATE(C278,D278,E278,F278)</f>
        <v>00000000010000100000000000000000</v>
      </c>
    </row>
    <row r="274" spans="2:26" ht="13.5" thickBot="1">
      <c r="B274" s="245" t="s">
        <v>885</v>
      </c>
      <c r="C274" s="246"/>
      <c r="D274" s="246"/>
      <c r="E274" s="246"/>
      <c r="F274" s="246"/>
      <c r="G274" s="276"/>
      <c r="H274" s="276"/>
      <c r="I274" s="276"/>
      <c r="J274" s="276"/>
      <c r="K274" s="276"/>
      <c r="L274" s="276"/>
      <c r="M274" s="276"/>
      <c r="N274" s="276"/>
      <c r="O274" s="276"/>
      <c r="P274" s="248"/>
      <c r="Q274" s="248"/>
      <c r="R274" s="248"/>
      <c r="S274" s="248"/>
      <c r="T274" s="248"/>
      <c r="U274" s="248"/>
      <c r="V274" s="248"/>
      <c r="W274" s="248"/>
      <c r="X274" s="248"/>
      <c r="Y274" s="248"/>
      <c r="Z274" s="237" t="str">
        <f>BIN2HEX(RIGHT((LEFT(Z273,4)),4))</f>
        <v>0</v>
      </c>
    </row>
    <row r="275" spans="2:26" ht="13.5" thickTop="1">
      <c r="B275" s="249"/>
      <c r="C275" s="251" t="s">
        <v>606</v>
      </c>
      <c r="D275" s="280" t="s">
        <v>605</v>
      </c>
      <c r="E275" s="251" t="s">
        <v>379</v>
      </c>
      <c r="F275" s="251" t="s">
        <v>607</v>
      </c>
      <c r="G275" s="271"/>
      <c r="H275" s="271"/>
      <c r="I275" s="271"/>
      <c r="J275" s="271"/>
      <c r="K275" s="271"/>
      <c r="L275" s="271"/>
      <c r="M275" s="271"/>
      <c r="N275" s="271"/>
      <c r="O275" s="271"/>
      <c r="P275" s="272"/>
      <c r="Q275" s="272"/>
      <c r="R275" s="272"/>
      <c r="S275" s="272"/>
      <c r="T275" s="272"/>
      <c r="U275" s="272"/>
      <c r="V275" s="272"/>
      <c r="W275" s="272"/>
      <c r="X275" s="272"/>
      <c r="Y275" s="272"/>
      <c r="Z275" s="237" t="str">
        <f>BIN2HEX(RIGHT((LEFT(Z273,8)),4))</f>
        <v>0</v>
      </c>
    </row>
    <row r="276" spans="2:26">
      <c r="B276" s="255" t="s">
        <v>189</v>
      </c>
      <c r="C276" s="256">
        <v>7</v>
      </c>
      <c r="D276" s="257">
        <v>9</v>
      </c>
      <c r="E276" s="257">
        <v>12</v>
      </c>
      <c r="F276" s="257">
        <v>4</v>
      </c>
      <c r="G276" s="274"/>
      <c r="H276" s="274"/>
      <c r="I276" s="274"/>
      <c r="J276" s="274"/>
      <c r="K276" s="274"/>
      <c r="L276" s="274"/>
      <c r="M276" s="274"/>
      <c r="N276" s="274"/>
      <c r="O276" s="274"/>
      <c r="P276" s="272"/>
      <c r="Q276" s="272"/>
      <c r="R276" s="272"/>
      <c r="S276" s="272"/>
      <c r="T276" s="272"/>
      <c r="U276" s="272"/>
      <c r="V276" s="272"/>
      <c r="W276" s="272"/>
      <c r="X276" s="272"/>
      <c r="Y276" s="272"/>
      <c r="Z276" s="237" t="str">
        <f>BIN2HEX(RIGHT((LEFT(Z273,12)),4))</f>
        <v>4</v>
      </c>
    </row>
    <row r="277" spans="2:26">
      <c r="B277" s="262" t="s">
        <v>16</v>
      </c>
      <c r="C277" s="263">
        <v>0</v>
      </c>
      <c r="D277" s="259" t="str">
        <f>IF(Memory_Type="DDR4",DEC2HEX(CEILING(tPW_RESET_L/tCK/2/1024,1)),DEC2HEX(CEILING(200000/tCK/2/1024,1)))</f>
        <v>42</v>
      </c>
      <c r="E277" s="259">
        <v>0</v>
      </c>
      <c r="F277" s="259">
        <v>0</v>
      </c>
      <c r="G277" s="261"/>
      <c r="H277" s="261"/>
      <c r="I277" s="261"/>
      <c r="J277" s="261"/>
      <c r="K277" s="261"/>
      <c r="L277" s="261"/>
      <c r="M277" s="261"/>
      <c r="N277" s="261"/>
      <c r="O277" s="261"/>
      <c r="P277" s="261"/>
      <c r="Q277" s="261"/>
      <c r="R277" s="261"/>
      <c r="S277" s="261"/>
      <c r="T277" s="261"/>
      <c r="U277" s="261"/>
      <c r="V277" s="261"/>
      <c r="W277" s="261"/>
      <c r="X277" s="261"/>
      <c r="Y277" s="261"/>
      <c r="Z277" s="237" t="str">
        <f>BIN2HEX(RIGHT((LEFT(Z273,16)),4))</f>
        <v>2</v>
      </c>
    </row>
    <row r="278" spans="2:26" ht="13.5" thickBot="1">
      <c r="B278" s="264" t="s">
        <v>17</v>
      </c>
      <c r="C278" s="265" t="str">
        <f>HEX2BIN(C277,C276)</f>
        <v>0000000</v>
      </c>
      <c r="D278" s="265" t="str">
        <f>HEX2BIN(D277,D276)</f>
        <v>001000010</v>
      </c>
      <c r="E278" s="277" t="s">
        <v>381</v>
      </c>
      <c r="F278" s="265" t="str">
        <f>HEX2BIN(F277,F276)</f>
        <v>0000</v>
      </c>
      <c r="G278" s="261"/>
      <c r="H278" s="261"/>
      <c r="I278" s="261"/>
      <c r="J278" s="261"/>
      <c r="K278" s="261"/>
      <c r="L278" s="261"/>
      <c r="M278" s="261"/>
      <c r="N278" s="261"/>
      <c r="O278" s="261"/>
      <c r="P278" s="261"/>
      <c r="Q278" s="261"/>
      <c r="R278" s="261"/>
      <c r="S278" s="261"/>
      <c r="T278" s="261"/>
      <c r="U278" s="261"/>
      <c r="V278" s="261"/>
      <c r="W278" s="261"/>
      <c r="X278" s="261"/>
      <c r="Y278" s="261"/>
      <c r="Z278" s="237" t="str">
        <f>BIN2HEX(RIGHT((LEFT(Z273,20)),4))</f>
        <v>0</v>
      </c>
    </row>
    <row r="279" spans="2:26" ht="13.5" thickBot="1">
      <c r="B279" s="266" t="s">
        <v>18</v>
      </c>
      <c r="C279" s="267" t="str">
        <f>CONCATENATE("0x",Z274,Z275,Z276,Z277,Z278,Z279,Z280,Z281)</f>
        <v>0x00420000</v>
      </c>
      <c r="I279" s="278"/>
      <c r="J279" s="278"/>
      <c r="Z279" s="237" t="str">
        <f>BIN2HEX(RIGHT((LEFT(Z273,24)),4))</f>
        <v>0</v>
      </c>
    </row>
    <row r="280" spans="2:26">
      <c r="I280" s="278"/>
      <c r="J280" s="278"/>
      <c r="Z280" s="237" t="str">
        <f>BIN2HEX(RIGHT((LEFT(Z273,28)),4))</f>
        <v>0</v>
      </c>
    </row>
    <row r="281" spans="2:26">
      <c r="I281" s="278"/>
      <c r="J281" s="278"/>
      <c r="Z281" s="237" t="str">
        <f>BIN2HEX(RIGHT((LEFT(Z273,33)),4))</f>
        <v>0</v>
      </c>
    </row>
    <row r="283" spans="2:26">
      <c r="Z283" s="248"/>
    </row>
    <row r="284" spans="2:26" ht="13.5" thickBot="1"/>
    <row r="285" spans="2:26" ht="13.5" thickBot="1">
      <c r="B285" s="245" t="s">
        <v>886</v>
      </c>
      <c r="C285" s="246"/>
      <c r="D285" s="246"/>
      <c r="E285" s="276"/>
      <c r="F285" s="276"/>
      <c r="G285" s="276"/>
      <c r="H285" s="276"/>
      <c r="I285" s="276"/>
      <c r="J285" s="276"/>
      <c r="K285" s="276"/>
      <c r="L285" s="276"/>
      <c r="M285" s="276"/>
      <c r="N285" s="276"/>
      <c r="O285" s="276"/>
      <c r="P285" s="248"/>
      <c r="Q285" s="248"/>
      <c r="R285" s="248"/>
      <c r="S285" s="248"/>
      <c r="T285" s="248"/>
      <c r="U285" s="248"/>
      <c r="V285" s="248"/>
      <c r="W285" s="248"/>
      <c r="X285" s="248"/>
      <c r="Y285" s="248"/>
    </row>
    <row r="286" spans="2:26" ht="13.5" thickTop="1">
      <c r="B286" s="249"/>
      <c r="C286" s="251" t="s">
        <v>609</v>
      </c>
      <c r="D286" s="280" t="s">
        <v>610</v>
      </c>
      <c r="E286" s="281"/>
      <c r="F286" s="281"/>
      <c r="G286" s="271"/>
      <c r="H286" s="271"/>
      <c r="I286" s="271"/>
      <c r="J286" s="271"/>
      <c r="K286" s="271"/>
      <c r="L286" s="271"/>
      <c r="M286" s="271"/>
      <c r="N286" s="271"/>
      <c r="O286" s="271"/>
      <c r="P286" s="272"/>
      <c r="Q286" s="272"/>
      <c r="R286" s="272"/>
      <c r="S286" s="272"/>
      <c r="T286" s="272"/>
      <c r="U286" s="272"/>
      <c r="V286" s="272"/>
      <c r="W286" s="272"/>
      <c r="X286" s="272"/>
      <c r="Y286" s="272"/>
    </row>
    <row r="287" spans="2:26">
      <c r="B287" s="255" t="s">
        <v>189</v>
      </c>
      <c r="C287" s="256">
        <v>16</v>
      </c>
      <c r="D287" s="257">
        <v>16</v>
      </c>
      <c r="E287" s="274"/>
      <c r="F287" s="274"/>
      <c r="G287" s="274"/>
      <c r="H287" s="274"/>
      <c r="I287" s="274"/>
      <c r="J287" s="274"/>
      <c r="K287" s="274"/>
      <c r="L287" s="274"/>
      <c r="M287" s="274"/>
      <c r="N287" s="274"/>
      <c r="O287" s="274"/>
      <c r="P287" s="272"/>
      <c r="Q287" s="272"/>
      <c r="R287" s="272"/>
      <c r="S287" s="272"/>
      <c r="T287" s="272"/>
      <c r="U287" s="272"/>
      <c r="V287" s="272"/>
      <c r="W287" s="272"/>
      <c r="X287" s="272"/>
      <c r="Y287" s="272"/>
    </row>
    <row r="288" spans="2:26" ht="13.5" thickBot="1">
      <c r="B288" s="262" t="s">
        <v>16</v>
      </c>
      <c r="C288" s="265" t="str">
        <f>IF(Memory_Type="DDR4",RIGHT(C714,4),IF(Memory_Type="DDR3L",RIGHT(C627,4),RIGHT(C823,4)))</f>
        <v>0014</v>
      </c>
      <c r="D288" s="265" t="str">
        <f>IF(Memory_Type="DDR4",RIGHT(C749,4),IF(Memory_Type="DDR3L",RIGHT(C662,4),RIGHT(C858,4)))</f>
        <v>0501</v>
      </c>
      <c r="E288" s="261"/>
      <c r="F288" s="261"/>
      <c r="G288" s="261"/>
      <c r="H288" s="261"/>
      <c r="I288" s="261"/>
      <c r="J288" s="261"/>
      <c r="K288" s="261"/>
      <c r="L288" s="261"/>
      <c r="M288" s="261"/>
      <c r="N288" s="261"/>
      <c r="O288" s="261"/>
      <c r="P288" s="261"/>
      <c r="Q288" s="261"/>
      <c r="R288" s="261"/>
      <c r="S288" s="261"/>
      <c r="T288" s="261"/>
      <c r="U288" s="261"/>
      <c r="V288" s="261"/>
      <c r="W288" s="261"/>
      <c r="X288" s="261"/>
      <c r="Y288" s="261"/>
    </row>
    <row r="289" spans="2:26" ht="13.5" thickBot="1">
      <c r="B289" s="264" t="s">
        <v>17</v>
      </c>
      <c r="E289" s="261"/>
      <c r="F289" s="261"/>
      <c r="G289" s="261"/>
      <c r="H289" s="261"/>
      <c r="I289" s="261"/>
      <c r="J289" s="261"/>
      <c r="K289" s="261"/>
      <c r="L289" s="261"/>
      <c r="M289" s="261"/>
      <c r="N289" s="261"/>
      <c r="O289" s="261"/>
      <c r="P289" s="261"/>
      <c r="Q289" s="261"/>
      <c r="R289" s="261"/>
      <c r="S289" s="261"/>
      <c r="T289" s="261"/>
      <c r="U289" s="261"/>
      <c r="V289" s="261"/>
      <c r="W289" s="261"/>
      <c r="X289" s="261"/>
      <c r="Y289" s="261"/>
    </row>
    <row r="290" spans="2:26" ht="13.5" thickBot="1">
      <c r="B290" s="266" t="s">
        <v>18</v>
      </c>
      <c r="C290" s="267" t="str">
        <f>CONCATENATE("0x",C288,D288)</f>
        <v>0x00140501</v>
      </c>
      <c r="I290" s="278"/>
      <c r="J290" s="278"/>
    </row>
    <row r="291" spans="2:26">
      <c r="I291" s="278"/>
      <c r="J291" s="278"/>
    </row>
    <row r="292" spans="2:26">
      <c r="I292" s="278"/>
      <c r="J292" s="278"/>
    </row>
    <row r="293" spans="2:26" ht="13.5" thickBot="1"/>
    <row r="294" spans="2:26" ht="13.5" thickBot="1">
      <c r="B294" s="245" t="s">
        <v>887</v>
      </c>
      <c r="C294" s="246"/>
      <c r="D294" s="246"/>
    </row>
    <row r="295" spans="2:26" ht="13.5" thickTop="1">
      <c r="B295" s="249"/>
      <c r="C295" s="251" t="s">
        <v>611</v>
      </c>
      <c r="D295" s="280" t="s">
        <v>612</v>
      </c>
    </row>
    <row r="296" spans="2:26">
      <c r="B296" s="255" t="s">
        <v>189</v>
      </c>
      <c r="C296" s="256">
        <v>16</v>
      </c>
      <c r="D296" s="257">
        <v>16</v>
      </c>
    </row>
    <row r="297" spans="2:26" ht="13.5" thickBot="1">
      <c r="B297" s="262" t="s">
        <v>16</v>
      </c>
      <c r="C297" s="265" t="str">
        <f>IF(Memory_Type="DDR4",RIGHT(C760,4),IF(Memory_Type="DDR3L",RIGHT(C686,4),RIGHT(C686,4)))</f>
        <v>0000</v>
      </c>
      <c r="D297" s="265" t="str">
        <f>IF(Memory_Type="DDR4",RIGHT(C776,4),IF(Memory_Type="DDR3L",RIGHT(C702,4),RIGHT(C915,4)))</f>
        <v>0020</v>
      </c>
    </row>
    <row r="298" spans="2:26" ht="13.5" thickBot="1">
      <c r="B298" s="264" t="s">
        <v>17</v>
      </c>
      <c r="C298" s="265"/>
      <c r="D298" s="265"/>
    </row>
    <row r="299" spans="2:26" ht="13.5" thickBot="1">
      <c r="B299" s="266" t="s">
        <v>18</v>
      </c>
      <c r="C299" s="267" t="str">
        <f>CONCATENATE("0x",C297,D297)</f>
        <v>0x00000020</v>
      </c>
    </row>
    <row r="301" spans="2:26">
      <c r="Z301" s="248" t="s">
        <v>608</v>
      </c>
    </row>
    <row r="302" spans="2:26" ht="13.5" thickBot="1">
      <c r="Z302" s="237" t="str">
        <f>CONCATENATE(C307,D307,E307,F307)</f>
        <v>00000000000100000000000000000000</v>
      </c>
    </row>
    <row r="303" spans="2:26" ht="13.5" thickBot="1">
      <c r="B303" s="245" t="s">
        <v>888</v>
      </c>
      <c r="C303" s="246"/>
      <c r="D303" s="246"/>
      <c r="E303" s="246"/>
      <c r="F303" s="246"/>
      <c r="G303" s="276"/>
      <c r="H303" s="276"/>
      <c r="I303" s="276"/>
      <c r="J303" s="276"/>
      <c r="K303" s="276"/>
      <c r="L303" s="276"/>
      <c r="M303" s="276"/>
      <c r="N303" s="276"/>
      <c r="O303" s="276"/>
      <c r="P303" s="248"/>
      <c r="Q303" s="248"/>
      <c r="R303" s="248"/>
      <c r="S303" s="248"/>
      <c r="T303" s="248"/>
      <c r="U303" s="248"/>
      <c r="V303" s="248"/>
      <c r="W303" s="248"/>
      <c r="X303" s="248"/>
      <c r="Y303" s="248"/>
      <c r="Z303" s="237" t="str">
        <f>BIN2HEX(RIGHT((LEFT(Z302,4)),4))</f>
        <v>0</v>
      </c>
    </row>
    <row r="304" spans="2:26" ht="13.5" thickTop="1">
      <c r="B304" s="249"/>
      <c r="C304" s="251" t="s">
        <v>613</v>
      </c>
      <c r="D304" s="280" t="s">
        <v>614</v>
      </c>
      <c r="E304" s="251" t="s">
        <v>397</v>
      </c>
      <c r="F304" s="251" t="s">
        <v>615</v>
      </c>
      <c r="G304" s="271"/>
      <c r="H304" s="271"/>
      <c r="I304" s="271"/>
      <c r="J304" s="271"/>
      <c r="K304" s="271"/>
      <c r="L304" s="271"/>
      <c r="M304" s="271"/>
      <c r="N304" s="271"/>
      <c r="O304" s="271"/>
      <c r="P304" s="272"/>
      <c r="Q304" s="272"/>
      <c r="R304" s="272"/>
      <c r="S304" s="272"/>
      <c r="T304" s="272"/>
      <c r="U304" s="272"/>
      <c r="V304" s="272"/>
      <c r="W304" s="272"/>
      <c r="X304" s="272"/>
      <c r="Y304" s="272"/>
      <c r="Z304" s="237" t="str">
        <f>BIN2HEX(RIGHT((LEFT(Z302,8)),4))</f>
        <v>0</v>
      </c>
    </row>
    <row r="305" spans="2:26">
      <c r="B305" s="255" t="s">
        <v>189</v>
      </c>
      <c r="C305" s="256">
        <v>8</v>
      </c>
      <c r="D305" s="257">
        <v>8</v>
      </c>
      <c r="E305" s="257">
        <v>6</v>
      </c>
      <c r="F305" s="257">
        <v>10</v>
      </c>
      <c r="G305" s="274"/>
      <c r="H305" s="274"/>
      <c r="I305" s="274"/>
      <c r="J305" s="274"/>
      <c r="K305" s="274"/>
      <c r="L305" s="274"/>
      <c r="M305" s="274"/>
      <c r="N305" s="274"/>
      <c r="O305" s="274"/>
      <c r="P305" s="272"/>
      <c r="Q305" s="272"/>
      <c r="R305" s="272"/>
      <c r="S305" s="272"/>
      <c r="T305" s="272"/>
      <c r="U305" s="272"/>
      <c r="V305" s="272"/>
      <c r="W305" s="272"/>
      <c r="X305" s="272"/>
      <c r="Y305" s="272"/>
      <c r="Z305" s="237" t="str">
        <f>BIN2HEX(RIGHT((LEFT(Z302,12)),4))</f>
        <v>1</v>
      </c>
    </row>
    <row r="306" spans="2:26">
      <c r="B306" s="262" t="s">
        <v>16</v>
      </c>
      <c r="C306" s="263">
        <v>0</v>
      </c>
      <c r="D306" s="259" t="str">
        <f>IF(Memory_Type="LPDDR4","10",DEC2HEX(CEILING(tZQINIT/tCK/2/32,1)))</f>
        <v>10</v>
      </c>
      <c r="E306" s="259">
        <v>0</v>
      </c>
      <c r="F306" s="259">
        <v>0</v>
      </c>
      <c r="G306" s="261"/>
      <c r="H306" s="261"/>
      <c r="I306" s="261"/>
      <c r="J306" s="261"/>
      <c r="K306" s="261"/>
      <c r="L306" s="261"/>
      <c r="M306" s="261"/>
      <c r="N306" s="261"/>
      <c r="O306" s="261"/>
      <c r="P306" s="261"/>
      <c r="Q306" s="261"/>
      <c r="R306" s="261"/>
      <c r="S306" s="261"/>
      <c r="T306" s="261"/>
      <c r="U306" s="261"/>
      <c r="V306" s="261"/>
      <c r="W306" s="261"/>
      <c r="X306" s="261"/>
      <c r="Y306" s="261"/>
      <c r="Z306" s="237" t="str">
        <f>BIN2HEX(RIGHT((LEFT(Z302,16)),4))</f>
        <v>0</v>
      </c>
    </row>
    <row r="307" spans="2:26" ht="13.5" thickBot="1">
      <c r="B307" s="264" t="s">
        <v>17</v>
      </c>
      <c r="C307" s="265" t="str">
        <f>HEX2BIN(C306,C305)</f>
        <v>00000000</v>
      </c>
      <c r="D307" s="265" t="str">
        <f>HEX2BIN(D306,D305)</f>
        <v>00010000</v>
      </c>
      <c r="E307" s="265" t="str">
        <f>HEX2BIN(E306,E305)</f>
        <v>000000</v>
      </c>
      <c r="F307" s="265" t="str">
        <f>HEX2BIN(F306,F305)</f>
        <v>0000000000</v>
      </c>
      <c r="G307" s="261"/>
      <c r="H307" s="261"/>
      <c r="I307" s="261"/>
      <c r="J307" s="261"/>
      <c r="K307" s="261"/>
      <c r="L307" s="261"/>
      <c r="M307" s="261"/>
      <c r="N307" s="261"/>
      <c r="O307" s="261"/>
      <c r="P307" s="261"/>
      <c r="Q307" s="261"/>
      <c r="R307" s="261"/>
      <c r="S307" s="261"/>
      <c r="T307" s="261"/>
      <c r="U307" s="261"/>
      <c r="V307" s="261"/>
      <c r="W307" s="261"/>
      <c r="X307" s="261"/>
      <c r="Y307" s="261"/>
      <c r="Z307" s="237" t="str">
        <f>BIN2HEX(RIGHT((LEFT(Z302,20)),4))</f>
        <v>0</v>
      </c>
    </row>
    <row r="308" spans="2:26" ht="13.5" thickBot="1">
      <c r="B308" s="266" t="s">
        <v>18</v>
      </c>
      <c r="C308" s="267" t="str">
        <f>CONCATENATE("0x",Z303,Z304,Z305,Z306,Z307,Z308,Z309,Z310)</f>
        <v>0x00100000</v>
      </c>
      <c r="I308" s="278"/>
      <c r="J308" s="278"/>
      <c r="Z308" s="237" t="str">
        <f>BIN2HEX(RIGHT((LEFT(Z302,24)),4))</f>
        <v>0</v>
      </c>
    </row>
    <row r="309" spans="2:26" ht="13.5" thickBot="1">
      <c r="I309" s="278"/>
      <c r="J309" s="278"/>
      <c r="Z309" s="237" t="str">
        <f>BIN2HEX(RIGHT((LEFT(Z302,28)),4))</f>
        <v>0</v>
      </c>
    </row>
    <row r="310" spans="2:26" ht="13.5" thickBot="1">
      <c r="B310" s="245" t="s">
        <v>889</v>
      </c>
      <c r="C310" s="246"/>
      <c r="D310" s="246"/>
      <c r="I310" s="278"/>
      <c r="J310" s="278"/>
      <c r="Z310" s="237" t="str">
        <f>BIN2HEX(RIGHT((LEFT(Z302,33)),4))</f>
        <v>0</v>
      </c>
    </row>
    <row r="311" spans="2:26" ht="13.5" thickTop="1">
      <c r="B311" s="249"/>
      <c r="C311" s="251" t="s">
        <v>616</v>
      </c>
      <c r="D311" s="280" t="s">
        <v>617</v>
      </c>
    </row>
    <row r="312" spans="2:26">
      <c r="B312" s="255" t="s">
        <v>189</v>
      </c>
      <c r="C312" s="256">
        <v>16</v>
      </c>
      <c r="D312" s="257">
        <v>16</v>
      </c>
    </row>
    <row r="313" spans="2:26" ht="13.5" thickBot="1">
      <c r="B313" s="262" t="s">
        <v>16</v>
      </c>
      <c r="C313" s="265" t="str">
        <f>IF(Memory_Type="LPDDR4",RIGHT(C892,4),RIGHT(C786,4))</f>
        <v>0000</v>
      </c>
      <c r="D313" s="265" t="str">
        <f>IF(Memory_Type="LPDDR4",RIGHT(C902,4),RIGHT(C799,4))</f>
        <v>0480</v>
      </c>
    </row>
    <row r="314" spans="2:26" ht="13.5" thickBot="1">
      <c r="B314" s="264" t="s">
        <v>17</v>
      </c>
      <c r="C314" s="265"/>
      <c r="D314" s="265"/>
    </row>
    <row r="315" spans="2:26" ht="13.5" thickBot="1">
      <c r="B315" s="266" t="s">
        <v>18</v>
      </c>
      <c r="C315" s="267" t="str">
        <f>CONCATENATE("0x",C313,D313)</f>
        <v>0x00000480</v>
      </c>
    </row>
    <row r="316" spans="2:26" ht="13.5" thickBot="1">
      <c r="B316" s="243"/>
      <c r="C316" s="244"/>
    </row>
    <row r="317" spans="2:26" ht="13.5" thickBot="1">
      <c r="B317" s="245" t="s">
        <v>890</v>
      </c>
      <c r="C317" s="246"/>
      <c r="D317" s="246"/>
    </row>
    <row r="318" spans="2:26" ht="13.5" thickTop="1">
      <c r="B318" s="249"/>
      <c r="C318" s="251" t="s">
        <v>618</v>
      </c>
      <c r="D318" s="280" t="s">
        <v>619</v>
      </c>
    </row>
    <row r="319" spans="2:26">
      <c r="B319" s="255" t="s">
        <v>189</v>
      </c>
      <c r="C319" s="256">
        <v>16</v>
      </c>
      <c r="D319" s="257">
        <v>16</v>
      </c>
    </row>
    <row r="320" spans="2:26" ht="13.5" thickBot="1">
      <c r="B320" s="262" t="s">
        <v>16</v>
      </c>
      <c r="C320" s="277" t="str">
        <f>IF(Memory_Type="LPDDR4",RIGHT(C936,4),"0000")</f>
        <v>0000</v>
      </c>
      <c r="D320" s="265" t="str">
        <f>IF(Memory_Type="LPDDR4",RIGHT(C926,4),RIGHT(C810,4))</f>
        <v>0097</v>
      </c>
    </row>
    <row r="321" spans="2:26" ht="13.5" thickBot="1">
      <c r="B321" s="264" t="s">
        <v>17</v>
      </c>
      <c r="C321" s="265"/>
      <c r="D321" s="265"/>
    </row>
    <row r="322" spans="2:26" ht="13.5" thickBot="1">
      <c r="B322" s="266" t="s">
        <v>18</v>
      </c>
      <c r="C322" s="267" t="str">
        <f>CONCATENATE("0x",C320,D320)</f>
        <v>0x00000097</v>
      </c>
    </row>
    <row r="323" spans="2:26">
      <c r="B323" s="243"/>
      <c r="C323" s="244"/>
    </row>
    <row r="324" spans="2:26">
      <c r="B324" s="243"/>
      <c r="C324" s="244"/>
    </row>
    <row r="325" spans="2:26">
      <c r="Z325" s="248" t="s">
        <v>559</v>
      </c>
    </row>
    <row r="326" spans="2:26" ht="13.5" thickBot="1">
      <c r="Z326" s="237" t="str">
        <f>CONCATENATE(C331,D331,E331,F331,G331,H331,I331,J331)</f>
        <v>00100001000000000000000001000000</v>
      </c>
    </row>
    <row r="327" spans="2:26" ht="13.5" thickBot="1">
      <c r="B327" s="245" t="s">
        <v>891</v>
      </c>
      <c r="C327" s="246"/>
      <c r="D327" s="246"/>
      <c r="E327" s="246"/>
      <c r="F327" s="246"/>
      <c r="G327" s="246"/>
      <c r="H327" s="246"/>
      <c r="I327" s="246"/>
      <c r="J327" s="246"/>
      <c r="K327" s="276"/>
      <c r="L327" s="276"/>
      <c r="M327" s="276"/>
      <c r="N327" s="276"/>
      <c r="O327" s="276"/>
      <c r="P327" s="248"/>
      <c r="Q327" s="248"/>
      <c r="R327" s="248"/>
      <c r="S327" s="248"/>
      <c r="T327" s="248"/>
      <c r="U327" s="248"/>
      <c r="V327" s="248"/>
      <c r="W327" s="248"/>
      <c r="X327" s="248"/>
      <c r="Y327" s="248"/>
      <c r="Z327" s="237" t="str">
        <f>BIN2HEX(RIGHT((LEFT(Z326,4)),4))</f>
        <v>2</v>
      </c>
    </row>
    <row r="328" spans="2:26" ht="13.5" thickTop="1">
      <c r="B328" s="249"/>
      <c r="C328" s="280" t="s">
        <v>553</v>
      </c>
      <c r="D328" s="268" t="s">
        <v>554</v>
      </c>
      <c r="E328" s="251" t="s">
        <v>555</v>
      </c>
      <c r="F328" s="251" t="s">
        <v>556</v>
      </c>
      <c r="G328" s="251" t="s">
        <v>557</v>
      </c>
      <c r="H328" s="251" t="s">
        <v>718</v>
      </c>
      <c r="I328" s="251" t="s">
        <v>397</v>
      </c>
      <c r="J328" s="251" t="s">
        <v>558</v>
      </c>
      <c r="K328" s="271"/>
      <c r="L328" s="271"/>
      <c r="M328" s="271"/>
      <c r="N328" s="271"/>
      <c r="O328" s="271"/>
      <c r="P328" s="272"/>
      <c r="Q328" s="272"/>
      <c r="R328" s="272"/>
      <c r="S328" s="272"/>
      <c r="T328" s="272"/>
      <c r="U328" s="272"/>
      <c r="V328" s="272"/>
      <c r="W328" s="272"/>
      <c r="X328" s="272"/>
      <c r="Y328" s="272"/>
      <c r="Z328" s="237" t="str">
        <f>BIN2HEX(RIGHT((LEFT(Z326,8)),4))</f>
        <v>1</v>
      </c>
    </row>
    <row r="329" spans="2:26">
      <c r="B329" s="255" t="s">
        <v>189</v>
      </c>
      <c r="C329" s="256">
        <v>1</v>
      </c>
      <c r="D329" s="257">
        <v>1</v>
      </c>
      <c r="E329" s="257">
        <v>1</v>
      </c>
      <c r="F329" s="257">
        <v>1</v>
      </c>
      <c r="G329" s="257">
        <v>1</v>
      </c>
      <c r="H329" s="257">
        <v>11</v>
      </c>
      <c r="I329" s="257">
        <v>6</v>
      </c>
      <c r="J329" s="257">
        <v>10</v>
      </c>
      <c r="K329" s="274"/>
      <c r="L329" s="274"/>
      <c r="M329" s="274"/>
      <c r="N329" s="274"/>
      <c r="O329" s="274"/>
      <c r="P329" s="272"/>
      <c r="Q329" s="272"/>
      <c r="R329" s="272"/>
      <c r="S329" s="272"/>
      <c r="T329" s="272"/>
      <c r="U329" s="272"/>
      <c r="V329" s="272"/>
      <c r="W329" s="272"/>
      <c r="X329" s="272"/>
      <c r="Y329" s="272"/>
      <c r="Z329" s="237" t="str">
        <f>BIN2HEX(RIGHT((LEFT(Z326,12)),4))</f>
        <v>0</v>
      </c>
    </row>
    <row r="330" spans="2:26">
      <c r="B330" s="262" t="s">
        <v>16</v>
      </c>
      <c r="C330" s="263">
        <v>0</v>
      </c>
      <c r="D330" s="259">
        <v>0</v>
      </c>
      <c r="E330" s="259">
        <v>1</v>
      </c>
      <c r="F330" s="259">
        <v>0</v>
      </c>
      <c r="G330" s="259">
        <v>0</v>
      </c>
      <c r="H330" s="259" t="str">
        <f>IF(Memory_Type="LPDDR4",DEC2HEX(CEILING(tZQCAL/tCK/2,1),3),DEC2HEX(CEILING(tZQoper/tCK/2,1),3))</f>
        <v>100</v>
      </c>
      <c r="I330" s="259">
        <v>0</v>
      </c>
      <c r="J330" s="259" t="str">
        <f>IF(Memory_Type="LPDDR4",DEC2HEX(CEILING(tZQLAT/tCK/2,1)),DEC2HEX(CEILING(tZQCS/tCK/2,1)))</f>
        <v>40</v>
      </c>
      <c r="K330" s="261"/>
      <c r="L330" s="261"/>
      <c r="M330" s="261"/>
      <c r="N330" s="261"/>
      <c r="O330" s="261"/>
      <c r="P330" s="261"/>
      <c r="Q330" s="261"/>
      <c r="R330" s="261"/>
      <c r="S330" s="261"/>
      <c r="T330" s="261"/>
      <c r="U330" s="261"/>
      <c r="V330" s="261"/>
      <c r="W330" s="261"/>
      <c r="X330" s="261"/>
      <c r="Y330" s="261"/>
      <c r="Z330" s="237" t="str">
        <f>BIN2HEX(RIGHT((LEFT(Z326,16)),4))</f>
        <v>0</v>
      </c>
    </row>
    <row r="331" spans="2:26" ht="13.5" thickBot="1">
      <c r="B331" s="264" t="s">
        <v>17</v>
      </c>
      <c r="C331" s="265" t="str">
        <f>HEX2BIN(C330,C329)</f>
        <v>0</v>
      </c>
      <c r="D331" s="265" t="str">
        <f>HEX2BIN(D330,D329)</f>
        <v>0</v>
      </c>
      <c r="E331" s="265" t="str">
        <f>HEX2BIN(E330,E329)</f>
        <v>1</v>
      </c>
      <c r="F331" s="265" t="str">
        <f>HEX2BIN(F330,F329)</f>
        <v>0</v>
      </c>
      <c r="G331" s="265" t="str">
        <f>HEX2BIN(G330,G329)</f>
        <v>0</v>
      </c>
      <c r="H331" s="261" t="str">
        <f>CONCATENATE(HEX2BIN(LEFT(H330,1),3),HEX2BIN(RIGHT(LEFT(H330,3),2),8))</f>
        <v>00100000000</v>
      </c>
      <c r="I331" s="265" t="str">
        <f>HEX2BIN(I330,I329)</f>
        <v>000000</v>
      </c>
      <c r="J331" s="265" t="str">
        <f>HEX2BIN(J330,J329)</f>
        <v>0001000000</v>
      </c>
      <c r="K331" s="261"/>
      <c r="L331" s="261"/>
      <c r="M331" s="261"/>
      <c r="N331" s="261"/>
      <c r="O331" s="261"/>
      <c r="P331" s="261"/>
      <c r="Q331" s="261"/>
      <c r="R331" s="261"/>
      <c r="S331" s="261"/>
      <c r="T331" s="261"/>
      <c r="U331" s="261"/>
      <c r="V331" s="261"/>
      <c r="W331" s="261"/>
      <c r="X331" s="261"/>
      <c r="Y331" s="261"/>
      <c r="Z331" s="237" t="str">
        <f>BIN2HEX(RIGHT((LEFT(Z326,20)),4))</f>
        <v>0</v>
      </c>
    </row>
    <row r="332" spans="2:26" ht="13.5" thickBot="1">
      <c r="B332" s="266" t="s">
        <v>18</v>
      </c>
      <c r="C332" s="267" t="str">
        <f>CONCATENATE("0x",Z327,Z328,Z329,Z330,Z331,Z332,Z333,Z334)</f>
        <v>0x21000040</v>
      </c>
      <c r="I332" s="278"/>
      <c r="J332" s="278"/>
      <c r="Z332" s="237" t="str">
        <f>BIN2HEX(RIGHT((LEFT(Z326,24)),4))</f>
        <v>0</v>
      </c>
    </row>
    <row r="333" spans="2:26">
      <c r="I333" s="278"/>
      <c r="J333" s="278"/>
      <c r="Z333" s="237" t="str">
        <f>BIN2HEX(RIGHT((LEFT(Z326,28)),4))</f>
        <v>4</v>
      </c>
    </row>
    <row r="334" spans="2:26">
      <c r="I334" s="278"/>
      <c r="J334" s="278"/>
      <c r="Z334" s="237" t="str">
        <f>BIN2HEX(RIGHT((LEFT(Z326,33)),4))</f>
        <v>0</v>
      </c>
    </row>
    <row r="335" spans="2:26">
      <c r="Z335" s="248" t="s">
        <v>565</v>
      </c>
    </row>
    <row r="336" spans="2:26" ht="13.5" thickBot="1">
      <c r="Z336" s="237" t="str">
        <f>CONCATENATE(C341,D341,E341)</f>
        <v>00000010000000100111101111001000</v>
      </c>
    </row>
    <row r="337" spans="2:26" ht="13.5" thickBot="1">
      <c r="B337" s="245" t="s">
        <v>892</v>
      </c>
      <c r="C337" s="246"/>
      <c r="D337" s="246"/>
      <c r="E337" s="246"/>
      <c r="F337" s="276"/>
      <c r="G337" s="276"/>
      <c r="H337" s="276"/>
      <c r="I337" s="276"/>
      <c r="J337" s="276"/>
      <c r="K337" s="276"/>
      <c r="L337" s="276"/>
      <c r="M337" s="276"/>
      <c r="N337" s="276"/>
      <c r="O337" s="276"/>
      <c r="P337" s="248"/>
      <c r="Q337" s="248"/>
      <c r="R337" s="248"/>
      <c r="S337" s="248"/>
      <c r="T337" s="248"/>
      <c r="U337" s="248"/>
      <c r="V337" s="248"/>
      <c r="W337" s="248"/>
      <c r="X337" s="248"/>
      <c r="Y337" s="248"/>
      <c r="Z337" s="237" t="str">
        <f>BIN2HEX(RIGHT((LEFT(Z336,4)),4))</f>
        <v>0</v>
      </c>
    </row>
    <row r="338" spans="2:26" ht="13.5" thickTop="1">
      <c r="B338" s="249"/>
      <c r="C338" s="280" t="s">
        <v>560</v>
      </c>
      <c r="D338" s="268" t="s">
        <v>561</v>
      </c>
      <c r="E338" s="251" t="s">
        <v>562</v>
      </c>
      <c r="F338" s="271"/>
      <c r="G338" s="271"/>
      <c r="H338" s="271"/>
      <c r="I338" s="271"/>
      <c r="J338" s="271"/>
      <c r="K338" s="271"/>
      <c r="L338" s="271"/>
      <c r="M338" s="271"/>
      <c r="N338" s="271"/>
      <c r="O338" s="271"/>
      <c r="P338" s="272"/>
      <c r="Q338" s="272"/>
      <c r="R338" s="272"/>
      <c r="S338" s="272"/>
      <c r="T338" s="272"/>
      <c r="U338" s="272"/>
      <c r="V338" s="272"/>
      <c r="W338" s="272"/>
      <c r="X338" s="272"/>
      <c r="Y338" s="272"/>
      <c r="Z338" s="237" t="str">
        <f>BIN2HEX(RIGHT((LEFT(Z336,8)),4))</f>
        <v>2</v>
      </c>
    </row>
    <row r="339" spans="2:26">
      <c r="B339" s="255" t="s">
        <v>189</v>
      </c>
      <c r="C339" s="256">
        <v>2</v>
      </c>
      <c r="D339" s="257">
        <v>10</v>
      </c>
      <c r="E339" s="257">
        <v>20</v>
      </c>
      <c r="F339" s="274"/>
      <c r="G339" s="274"/>
      <c r="H339" s="274"/>
      <c r="I339" s="274"/>
      <c r="J339" s="274"/>
      <c r="K339" s="274"/>
      <c r="L339" s="274"/>
      <c r="M339" s="274"/>
      <c r="N339" s="274"/>
      <c r="O339" s="274"/>
      <c r="P339" s="272"/>
      <c r="Q339" s="272"/>
      <c r="R339" s="272"/>
      <c r="S339" s="272"/>
      <c r="T339" s="272"/>
      <c r="U339" s="272"/>
      <c r="V339" s="272"/>
      <c r="W339" s="272"/>
      <c r="X339" s="272"/>
      <c r="Y339" s="272"/>
      <c r="Z339" s="237" t="str">
        <f>BIN2HEX(RIGHT((LEFT(Z336,12)),4))</f>
        <v>0</v>
      </c>
    </row>
    <row r="340" spans="2:26">
      <c r="B340" s="262" t="s">
        <v>16</v>
      </c>
      <c r="C340" s="263">
        <v>0</v>
      </c>
      <c r="D340" s="259">
        <f>IF(Memory_Type="LPDDR4",DEC2HEX(CEILING(tZQReset/tCK/2,1)),20)</f>
        <v>20</v>
      </c>
      <c r="E340" s="259" t="str">
        <f>DEC2HEX((0.5/(Tsense*Tdrift_rate+Vsense*Vdrift_rate)*1000000000/tCK)/1024,5)</f>
        <v>27BC8</v>
      </c>
      <c r="F340" s="261"/>
      <c r="G340" s="261"/>
      <c r="H340" s="261"/>
      <c r="I340" s="261"/>
      <c r="J340" s="261"/>
      <c r="K340" s="261"/>
      <c r="L340" s="261"/>
      <c r="M340" s="261"/>
      <c r="N340" s="261"/>
      <c r="O340" s="261"/>
      <c r="P340" s="261"/>
      <c r="Q340" s="261"/>
      <c r="R340" s="261"/>
      <c r="S340" s="261"/>
      <c r="T340" s="261"/>
      <c r="U340" s="261"/>
      <c r="V340" s="261"/>
      <c r="W340" s="261"/>
      <c r="X340" s="261"/>
      <c r="Y340" s="261"/>
      <c r="Z340" s="237" t="str">
        <f>BIN2HEX(RIGHT((LEFT(Z336,16)),4))</f>
        <v>2</v>
      </c>
    </row>
    <row r="341" spans="2:26" ht="13.5" thickBot="1">
      <c r="B341" s="264" t="s">
        <v>17</v>
      </c>
      <c r="C341" s="265" t="str">
        <f>HEX2BIN(C340,C339)</f>
        <v>00</v>
      </c>
      <c r="D341" s="265" t="str">
        <f>HEX2BIN(D340,D339)</f>
        <v>0000100000</v>
      </c>
      <c r="E341" s="265" t="str">
        <f>CONCATENATE(HEX2BIN(LEFT(E340,2),8),HEX2BIN(RIGHT(LEFT(E340,4),2),8),HEX2BIN(RIGHT(LEFT(E340,6),1),4))</f>
        <v>00100111101111001000</v>
      </c>
      <c r="F341" s="261"/>
      <c r="G341" s="261"/>
      <c r="H341" s="261"/>
      <c r="I341" s="261"/>
      <c r="J341" s="261"/>
      <c r="K341" s="261"/>
      <c r="L341" s="261"/>
      <c r="M341" s="261"/>
      <c r="N341" s="261"/>
      <c r="O341" s="261"/>
      <c r="P341" s="261"/>
      <c r="Q341" s="261"/>
      <c r="R341" s="261"/>
      <c r="S341" s="261"/>
      <c r="T341" s="261"/>
      <c r="U341" s="261"/>
      <c r="V341" s="261"/>
      <c r="W341" s="261"/>
      <c r="X341" s="261"/>
      <c r="Y341" s="261"/>
      <c r="Z341" s="237" t="str">
        <f>BIN2HEX(RIGHT((LEFT(Z336,20)),4))</f>
        <v>7</v>
      </c>
    </row>
    <row r="342" spans="2:26" ht="13.5" thickBot="1">
      <c r="B342" s="266" t="s">
        <v>18</v>
      </c>
      <c r="C342" s="267" t="str">
        <f>CONCATENATE("0x",Z337,Z338,Z339,Z340,Z341,Z342,Z343,Z344)</f>
        <v>0x02027BC8</v>
      </c>
      <c r="F342" s="261"/>
      <c r="I342" s="278"/>
      <c r="J342" s="278"/>
      <c r="Z342" s="237" t="str">
        <f>BIN2HEX(RIGHT((LEFT(Z336,24)),4))</f>
        <v>B</v>
      </c>
    </row>
    <row r="343" spans="2:26">
      <c r="I343" s="278"/>
      <c r="J343" s="278"/>
      <c r="Z343" s="237" t="str">
        <f>BIN2HEX(RIGHT((LEFT(Z336,28)),4))</f>
        <v>C</v>
      </c>
    </row>
    <row r="344" spans="2:26">
      <c r="I344" s="278"/>
      <c r="J344" s="278"/>
      <c r="Z344" s="237" t="str">
        <f>BIN2HEX(RIGHT((LEFT(Z336,33)),4))</f>
        <v>8</v>
      </c>
    </row>
    <row r="346" spans="2:26">
      <c r="Z346" s="248" t="s">
        <v>577</v>
      </c>
    </row>
    <row r="347" spans="2:26" ht="13.5" thickBot="1">
      <c r="Z347" s="237" t="str">
        <f>CONCATENATE(C352,D352,E352,F352,G352,H352,I352,J352,K352)</f>
        <v>00000110000000000000011000001100</v>
      </c>
    </row>
    <row r="348" spans="2:26" ht="13.5" thickBot="1">
      <c r="B348" s="245" t="s">
        <v>893</v>
      </c>
      <c r="C348" s="246"/>
      <c r="D348" s="246"/>
      <c r="E348" s="246"/>
      <c r="F348" s="246"/>
      <c r="G348" s="246"/>
      <c r="H348" s="246"/>
      <c r="I348" s="246"/>
      <c r="J348" s="246"/>
      <c r="K348" s="246"/>
      <c r="L348" s="276"/>
      <c r="M348" s="276"/>
      <c r="N348" s="276"/>
      <c r="O348" s="276"/>
      <c r="P348" s="248"/>
      <c r="Q348" s="248"/>
      <c r="R348" s="248"/>
      <c r="S348" s="248"/>
      <c r="T348" s="248"/>
      <c r="U348" s="248"/>
      <c r="V348" s="248"/>
      <c r="W348" s="248"/>
      <c r="X348" s="248"/>
      <c r="Y348" s="248"/>
      <c r="Z348" s="237" t="str">
        <f>BIN2HEX(RIGHT((LEFT(Z347,4)),4))</f>
        <v>0</v>
      </c>
    </row>
    <row r="349" spans="2:26" ht="13.5" thickTop="1">
      <c r="B349" s="249"/>
      <c r="C349" s="280" t="s">
        <v>569</v>
      </c>
      <c r="D349" s="268" t="s">
        <v>570</v>
      </c>
      <c r="E349" s="251" t="s">
        <v>571</v>
      </c>
      <c r="F349" s="268" t="s">
        <v>572</v>
      </c>
      <c r="G349" s="251" t="s">
        <v>359</v>
      </c>
      <c r="H349" s="268" t="s">
        <v>573</v>
      </c>
      <c r="I349" s="251" t="s">
        <v>574</v>
      </c>
      <c r="J349" s="268" t="s">
        <v>576</v>
      </c>
      <c r="K349" s="268" t="s">
        <v>575</v>
      </c>
      <c r="L349" s="271"/>
      <c r="M349" s="271"/>
      <c r="N349" s="271"/>
      <c r="O349" s="271"/>
      <c r="P349" s="272"/>
      <c r="Q349" s="272"/>
      <c r="R349" s="272"/>
      <c r="S349" s="272"/>
      <c r="T349" s="272"/>
      <c r="U349" s="272"/>
      <c r="V349" s="272"/>
      <c r="W349" s="272"/>
      <c r="X349" s="272"/>
      <c r="Y349" s="272"/>
      <c r="Z349" s="237" t="str">
        <f>BIN2HEX(RIGHT((LEFT(Z347,8)),4))</f>
        <v>6</v>
      </c>
    </row>
    <row r="350" spans="2:26">
      <c r="B350" s="255" t="s">
        <v>189</v>
      </c>
      <c r="C350" s="256">
        <v>4</v>
      </c>
      <c r="D350" s="257">
        <v>4</v>
      </c>
      <c r="E350" s="257">
        <v>3</v>
      </c>
      <c r="F350" s="257">
        <v>5</v>
      </c>
      <c r="G350" s="257">
        <v>4</v>
      </c>
      <c r="H350" s="257">
        <v>4</v>
      </c>
      <c r="I350" s="257">
        <v>1</v>
      </c>
      <c r="J350" s="257">
        <v>5</v>
      </c>
      <c r="K350" s="257">
        <v>2</v>
      </c>
      <c r="L350" s="274"/>
      <c r="M350" s="274"/>
      <c r="N350" s="274"/>
      <c r="O350" s="274"/>
      <c r="P350" s="272"/>
      <c r="Q350" s="272"/>
      <c r="R350" s="272"/>
      <c r="S350" s="272"/>
      <c r="T350" s="272"/>
      <c r="U350" s="272"/>
      <c r="V350" s="272"/>
      <c r="W350" s="272"/>
      <c r="X350" s="272"/>
      <c r="Y350" s="272"/>
      <c r="Z350" s="237" t="str">
        <f>BIN2HEX(RIGHT((LEFT(Z347,12)),4))</f>
        <v>0</v>
      </c>
    </row>
    <row r="351" spans="2:26">
      <c r="B351" s="262" t="s">
        <v>16</v>
      </c>
      <c r="C351" s="263">
        <v>0</v>
      </c>
      <c r="D351" s="259" t="str">
        <f>IF(Memory_Type="DDR4",DEC2HEX(5+tWPRE/tCK+0),IF(Memory_Type="DDR3L",6,4))</f>
        <v>6</v>
      </c>
      <c r="E351" s="259">
        <v>0</v>
      </c>
      <c r="F351" s="259">
        <f>IF(Memory_Type="DDR4",C84,0)</f>
        <v>0</v>
      </c>
      <c r="G351" s="259">
        <v>0</v>
      </c>
      <c r="H351" s="259" t="str">
        <f>IF(Memory_Type="DDR4",DEC2HEX(5+tRPRE/tCK),IF(Memory_Type="DDR3L",6,4))</f>
        <v>6</v>
      </c>
      <c r="I351" s="259">
        <v>0</v>
      </c>
      <c r="J351" s="259" t="str">
        <f>IF(Memory_Type="DDR4",DEC2HEX(CL-CWL-tRPRE/tCK+tWPRE/tCK+HEX2DEC(C84)),IF(Memory_Type="DDR3L",DEC2HEX(CL-CWL),0))</f>
        <v>3</v>
      </c>
      <c r="K351" s="259">
        <v>0</v>
      </c>
      <c r="L351" s="261"/>
      <c r="M351" s="261"/>
      <c r="N351" s="261"/>
      <c r="O351" s="261"/>
      <c r="P351" s="261"/>
      <c r="Q351" s="261"/>
      <c r="R351" s="261"/>
      <c r="S351" s="261"/>
      <c r="T351" s="261"/>
      <c r="U351" s="261"/>
      <c r="V351" s="261"/>
      <c r="W351" s="261"/>
      <c r="X351" s="261"/>
      <c r="Y351" s="261"/>
      <c r="Z351" s="237" t="str">
        <f>BIN2HEX(RIGHT((LEFT(Z347,16)),4))</f>
        <v>0</v>
      </c>
    </row>
    <row r="352" spans="2:26" ht="13.5" thickBot="1">
      <c r="B352" s="264" t="s">
        <v>17</v>
      </c>
      <c r="C352" s="265" t="str">
        <f t="shared" ref="C352:K352" si="14">HEX2BIN(C351,C350)</f>
        <v>0000</v>
      </c>
      <c r="D352" s="265" t="str">
        <f t="shared" si="14"/>
        <v>0110</v>
      </c>
      <c r="E352" s="265" t="str">
        <f t="shared" si="14"/>
        <v>000</v>
      </c>
      <c r="F352" s="265" t="str">
        <f t="shared" si="14"/>
        <v>00000</v>
      </c>
      <c r="G352" s="265" t="str">
        <f t="shared" si="14"/>
        <v>0000</v>
      </c>
      <c r="H352" s="265" t="str">
        <f t="shared" si="14"/>
        <v>0110</v>
      </c>
      <c r="I352" s="265" t="str">
        <f t="shared" si="14"/>
        <v>0</v>
      </c>
      <c r="J352" s="265" t="str">
        <f t="shared" si="14"/>
        <v>00011</v>
      </c>
      <c r="K352" s="265" t="str">
        <f t="shared" si="14"/>
        <v>00</v>
      </c>
      <c r="L352" s="261"/>
      <c r="M352" s="261"/>
      <c r="N352" s="261"/>
      <c r="O352" s="261"/>
      <c r="P352" s="261"/>
      <c r="Q352" s="261"/>
      <c r="R352" s="261"/>
      <c r="S352" s="261"/>
      <c r="T352" s="261"/>
      <c r="U352" s="261"/>
      <c r="V352" s="261"/>
      <c r="W352" s="261"/>
      <c r="X352" s="261"/>
      <c r="Y352" s="261"/>
      <c r="Z352" s="237" t="str">
        <f>BIN2HEX(RIGHT((LEFT(Z347,20)),4))</f>
        <v>0</v>
      </c>
    </row>
    <row r="353" spans="2:26" ht="13.5" thickBot="1">
      <c r="B353" s="266" t="s">
        <v>18</v>
      </c>
      <c r="C353" s="267" t="str">
        <f>CONCATENATE("0x",Z348,Z349,Z350,Z351,Z352,Z353,Z354,Z355)</f>
        <v>0x0600060C</v>
      </c>
      <c r="F353" s="261"/>
      <c r="I353" s="278"/>
      <c r="J353" s="278"/>
      <c r="Z353" s="237" t="str">
        <f>BIN2HEX(RIGHT((LEFT(Z347,24)),4))</f>
        <v>6</v>
      </c>
    </row>
    <row r="354" spans="2:26">
      <c r="I354" s="278"/>
      <c r="J354" s="278"/>
      <c r="Z354" s="237" t="str">
        <f>BIN2HEX(RIGHT((LEFT(Z347,28)),4))</f>
        <v>0</v>
      </c>
    </row>
    <row r="355" spans="2:26">
      <c r="I355" s="278"/>
      <c r="J355" s="278"/>
      <c r="Z355" s="237" t="str">
        <f>BIN2HEX(RIGHT((LEFT(Z347,33)),4))</f>
        <v>C</v>
      </c>
    </row>
    <row r="356" spans="2:26">
      <c r="Z356" s="242" t="s">
        <v>588</v>
      </c>
    </row>
    <row r="357" spans="2:26" ht="13.5" thickBot="1">
      <c r="Z357" s="237" t="str">
        <f>CONCATENATE(C362,D362,E362,F362,G362,H362,I362,J362,K362)</f>
        <v>00000000001000010000000001110000</v>
      </c>
    </row>
    <row r="358" spans="2:26" ht="13.5" thickBot="1">
      <c r="B358" s="245" t="s">
        <v>894</v>
      </c>
      <c r="C358" s="246"/>
      <c r="D358" s="246"/>
      <c r="E358" s="246"/>
      <c r="F358" s="246"/>
      <c r="G358" s="246"/>
      <c r="H358" s="246"/>
      <c r="I358" s="246"/>
      <c r="J358" s="246"/>
      <c r="K358" s="246"/>
      <c r="L358" s="276"/>
      <c r="M358" s="248"/>
      <c r="N358" s="248"/>
      <c r="O358" s="248"/>
      <c r="P358" s="248"/>
      <c r="Q358" s="248"/>
      <c r="R358" s="248"/>
      <c r="S358" s="248"/>
      <c r="T358" s="248"/>
      <c r="U358" s="248"/>
      <c r="V358" s="248"/>
      <c r="W358" s="248"/>
      <c r="X358" s="248"/>
      <c r="Y358" s="248"/>
      <c r="Z358" s="237" t="str">
        <f>BIN2HEX(RIGHT((LEFT(Z357,4)),4))</f>
        <v>0</v>
      </c>
    </row>
    <row r="359" spans="2:26" ht="13.5" thickTop="1">
      <c r="B359" s="249"/>
      <c r="C359" s="268" t="s">
        <v>413</v>
      </c>
      <c r="D359" s="251" t="s">
        <v>579</v>
      </c>
      <c r="E359" s="251" t="s">
        <v>580</v>
      </c>
      <c r="F359" s="251" t="s">
        <v>581</v>
      </c>
      <c r="G359" s="251" t="s">
        <v>582</v>
      </c>
      <c r="H359" s="251" t="s">
        <v>585</v>
      </c>
      <c r="I359" s="251" t="s">
        <v>583</v>
      </c>
      <c r="J359" s="251" t="s">
        <v>584</v>
      </c>
      <c r="K359" s="251" t="s">
        <v>575</v>
      </c>
      <c r="L359" s="271"/>
      <c r="M359" s="272"/>
      <c r="N359" s="272"/>
      <c r="O359" s="272"/>
      <c r="P359" s="272"/>
      <c r="Q359" s="272"/>
      <c r="R359" s="272"/>
      <c r="S359" s="272"/>
      <c r="T359" s="272"/>
      <c r="U359" s="272"/>
      <c r="V359" s="272"/>
      <c r="W359" s="272"/>
      <c r="X359" s="272"/>
      <c r="Y359" s="272"/>
      <c r="Z359" s="237" t="str">
        <f>BIN2HEX(RIGHT((LEFT(Z357,8)),4))</f>
        <v>0</v>
      </c>
    </row>
    <row r="360" spans="2:26">
      <c r="B360" s="255" t="s">
        <v>189</v>
      </c>
      <c r="C360" s="256">
        <v>8</v>
      </c>
      <c r="D360" s="257">
        <v>4</v>
      </c>
      <c r="E360" s="257">
        <v>3</v>
      </c>
      <c r="F360" s="257">
        <v>5</v>
      </c>
      <c r="G360" s="257">
        <v>3</v>
      </c>
      <c r="H360" s="257">
        <v>5</v>
      </c>
      <c r="I360" s="257">
        <v>1</v>
      </c>
      <c r="J360" s="257">
        <v>1</v>
      </c>
      <c r="K360" s="257">
        <v>2</v>
      </c>
      <c r="L360" s="274"/>
      <c r="M360" s="272"/>
      <c r="N360" s="272"/>
      <c r="O360" s="272"/>
      <c r="P360" s="272"/>
      <c r="Q360" s="272"/>
      <c r="R360" s="272"/>
      <c r="S360" s="272"/>
      <c r="T360" s="272"/>
      <c r="U360" s="272"/>
      <c r="V360" s="272"/>
      <c r="W360" s="272"/>
      <c r="X360" s="272"/>
      <c r="Y360" s="272"/>
      <c r="Z360" s="237" t="str">
        <f>BIN2HEX(RIGHT((LEFT(Z357,12)),4))</f>
        <v>2</v>
      </c>
    </row>
    <row r="361" spans="2:26">
      <c r="B361" s="262" t="s">
        <v>16</v>
      </c>
      <c r="C361" s="263">
        <v>0</v>
      </c>
      <c r="D361" s="259">
        <v>2</v>
      </c>
      <c r="E361" s="259">
        <v>0</v>
      </c>
      <c r="F361" s="259">
        <v>10</v>
      </c>
      <c r="G361" s="259">
        <v>0</v>
      </c>
      <c r="H361" s="259">
        <v>7</v>
      </c>
      <c r="I361" s="259">
        <v>0</v>
      </c>
      <c r="J361" s="259">
        <v>0</v>
      </c>
      <c r="K361" s="259">
        <v>0</v>
      </c>
      <c r="L361" s="261"/>
      <c r="M361" s="261"/>
      <c r="N361" s="261"/>
      <c r="O361" s="261"/>
      <c r="P361" s="261"/>
      <c r="Q361" s="261"/>
      <c r="R361" s="261"/>
      <c r="S361" s="261"/>
      <c r="T361" s="261"/>
      <c r="U361" s="261"/>
      <c r="V361" s="261"/>
      <c r="W361" s="261"/>
      <c r="X361" s="261"/>
      <c r="Y361" s="261"/>
      <c r="Z361" s="237" t="str">
        <f>BIN2HEX(RIGHT((LEFT(Z357,16)),4))</f>
        <v>1</v>
      </c>
    </row>
    <row r="362" spans="2:26" ht="13.5" thickBot="1">
      <c r="B362" s="264" t="s">
        <v>17</v>
      </c>
      <c r="C362" s="265" t="str">
        <f t="shared" ref="C362:K362" si="15">HEX2BIN(C361,C360)</f>
        <v>00000000</v>
      </c>
      <c r="D362" s="265" t="str">
        <f t="shared" si="15"/>
        <v>0010</v>
      </c>
      <c r="E362" s="265" t="str">
        <f t="shared" si="15"/>
        <v>000</v>
      </c>
      <c r="F362" s="265" t="str">
        <f t="shared" si="15"/>
        <v>10000</v>
      </c>
      <c r="G362" s="265" t="str">
        <f t="shared" si="15"/>
        <v>000</v>
      </c>
      <c r="H362" s="265" t="str">
        <f t="shared" si="15"/>
        <v>00111</v>
      </c>
      <c r="I362" s="265" t="str">
        <f t="shared" si="15"/>
        <v>0</v>
      </c>
      <c r="J362" s="265" t="str">
        <f t="shared" si="15"/>
        <v>0</v>
      </c>
      <c r="K362" s="265" t="str">
        <f t="shared" si="15"/>
        <v>00</v>
      </c>
      <c r="L362" s="261"/>
      <c r="M362" s="261"/>
      <c r="N362" s="261"/>
      <c r="O362" s="261"/>
      <c r="P362" s="261"/>
      <c r="Q362" s="261"/>
      <c r="R362" s="261"/>
      <c r="S362" s="261"/>
      <c r="T362" s="261"/>
      <c r="U362" s="261"/>
      <c r="V362" s="261"/>
      <c r="W362" s="261"/>
      <c r="X362" s="261"/>
      <c r="Y362" s="261"/>
      <c r="Z362" s="237" t="str">
        <f>BIN2HEX(RIGHT((LEFT(Z357,20)),4))</f>
        <v>0</v>
      </c>
    </row>
    <row r="363" spans="2:26" ht="13.5" thickBot="1">
      <c r="B363" s="266" t="s">
        <v>18</v>
      </c>
      <c r="C363" s="267" t="str">
        <f>CONCATENATE("0x",Z358,Z359,Z360,Z361,Z362,Z363,Z364,Z365)</f>
        <v>0x00210070</v>
      </c>
      <c r="Z363" s="237" t="str">
        <f>BIN2HEX(RIGHT((LEFT(Z357,24)),4))</f>
        <v>0</v>
      </c>
    </row>
    <row r="364" spans="2:26">
      <c r="Z364" s="237" t="str">
        <f>BIN2HEX(RIGHT((LEFT(Z357,28)),4))</f>
        <v>7</v>
      </c>
    </row>
    <row r="365" spans="2:26">
      <c r="Z365" s="237" t="str">
        <f>BIN2HEX(RIGHT((LEFT(Z357,33)),4))</f>
        <v>0</v>
      </c>
    </row>
    <row r="366" spans="2:26">
      <c r="Z366" s="242" t="s">
        <v>597</v>
      </c>
    </row>
    <row r="367" spans="2:26" ht="13.5" thickBot="1">
      <c r="Z367" s="237" t="str">
        <f>CONCATENATE(C372,D372,E372,F372,G372,H372,I372,J372,K372,L372,M372,N372,O372,P372)</f>
        <v>00011010000000000000000000000000</v>
      </c>
    </row>
    <row r="368" spans="2:26" ht="13.5" thickBot="1">
      <c r="B368" s="245" t="s">
        <v>895</v>
      </c>
      <c r="C368" s="246"/>
      <c r="D368" s="246"/>
      <c r="E368" s="246"/>
      <c r="F368" s="246"/>
      <c r="G368" s="246"/>
      <c r="H368" s="246"/>
      <c r="I368" s="246"/>
      <c r="J368" s="246"/>
      <c r="K368" s="246"/>
      <c r="L368" s="246"/>
      <c r="M368" s="246"/>
      <c r="N368" s="246"/>
      <c r="O368" s="246"/>
      <c r="P368" s="246"/>
      <c r="Q368" s="276"/>
      <c r="R368" s="276"/>
      <c r="S368" s="276"/>
      <c r="T368" s="276"/>
      <c r="U368" s="276"/>
      <c r="V368" s="276"/>
      <c r="W368" s="276"/>
      <c r="X368" s="276"/>
      <c r="Y368" s="276"/>
      <c r="Z368" s="237" t="str">
        <f>BIN2HEX(RIGHT((LEFT(Z367,4)),4))</f>
        <v>1</v>
      </c>
    </row>
    <row r="369" spans="2:26" ht="13.5" thickTop="1">
      <c r="B369" s="249"/>
      <c r="C369" s="268" t="s">
        <v>87</v>
      </c>
      <c r="D369" s="251" t="s">
        <v>536</v>
      </c>
      <c r="E369" s="251" t="s">
        <v>596</v>
      </c>
      <c r="F369" s="251" t="s">
        <v>537</v>
      </c>
      <c r="G369" s="251" t="s">
        <v>538</v>
      </c>
      <c r="H369" s="251" t="s">
        <v>539</v>
      </c>
      <c r="I369" s="251" t="s">
        <v>366</v>
      </c>
      <c r="J369" s="251" t="s">
        <v>589</v>
      </c>
      <c r="K369" s="251" t="s">
        <v>590</v>
      </c>
      <c r="L369" s="251" t="s">
        <v>591</v>
      </c>
      <c r="M369" s="251" t="s">
        <v>592</v>
      </c>
      <c r="N369" s="251" t="s">
        <v>593</v>
      </c>
      <c r="O369" s="251" t="s">
        <v>594</v>
      </c>
      <c r="P369" s="251" t="s">
        <v>595</v>
      </c>
      <c r="Q369" s="271"/>
      <c r="R369" s="271"/>
      <c r="S369" s="271"/>
      <c r="T369" s="271"/>
      <c r="U369" s="271"/>
      <c r="V369" s="271"/>
      <c r="W369" s="271"/>
      <c r="X369" s="271"/>
      <c r="Y369" s="271"/>
      <c r="Z369" s="237" t="str">
        <f>BIN2HEX(RIGHT((LEFT(Z367,8)),4))</f>
        <v>A</v>
      </c>
    </row>
    <row r="370" spans="2:26">
      <c r="B370" s="255" t="s">
        <v>189</v>
      </c>
      <c r="C370" s="256">
        <v>1</v>
      </c>
      <c r="D370" s="257">
        <v>7</v>
      </c>
      <c r="E370" s="257">
        <v>8</v>
      </c>
      <c r="F370" s="257">
        <v>1</v>
      </c>
      <c r="G370" s="257">
        <v>2</v>
      </c>
      <c r="H370" s="257">
        <v>1</v>
      </c>
      <c r="I370" s="257">
        <v>2</v>
      </c>
      <c r="J370" s="257">
        <v>1</v>
      </c>
      <c r="K370" s="257">
        <v>1</v>
      </c>
      <c r="L370" s="257">
        <v>1</v>
      </c>
      <c r="M370" s="257">
        <v>2</v>
      </c>
      <c r="N370" s="257">
        <v>1</v>
      </c>
      <c r="O370" s="257">
        <v>3</v>
      </c>
      <c r="P370" s="257">
        <v>1</v>
      </c>
      <c r="Q370" s="274"/>
      <c r="R370" s="274"/>
      <c r="S370" s="274"/>
      <c r="T370" s="274"/>
      <c r="U370" s="274"/>
      <c r="V370" s="274"/>
      <c r="W370" s="274"/>
      <c r="X370" s="274"/>
      <c r="Y370" s="274"/>
      <c r="Z370" s="237" t="str">
        <f>BIN2HEX(RIGHT((LEFT(Z367,12)),4))</f>
        <v>0</v>
      </c>
    </row>
    <row r="371" spans="2:26">
      <c r="B371" s="262" t="s">
        <v>16</v>
      </c>
      <c r="C371" s="263">
        <v>0</v>
      </c>
      <c r="D371" s="259" t="str">
        <f>DEC2HEX(18+2*(1+1+1+1+0+0+TRUNC(H994/4)+0))</f>
        <v>1A</v>
      </c>
      <c r="E371" s="259">
        <v>0</v>
      </c>
      <c r="F371" s="259">
        <v>0</v>
      </c>
      <c r="G371" s="259">
        <v>0</v>
      </c>
      <c r="H371" s="259">
        <v>0</v>
      </c>
      <c r="I371" s="259">
        <v>0</v>
      </c>
      <c r="J371" s="259">
        <v>0</v>
      </c>
      <c r="K371" s="259">
        <v>0</v>
      </c>
      <c r="L371" s="259">
        <v>0</v>
      </c>
      <c r="M371" s="259">
        <v>0</v>
      </c>
      <c r="N371" s="259">
        <v>0</v>
      </c>
      <c r="O371" s="259">
        <v>0</v>
      </c>
      <c r="P371" s="259">
        <v>0</v>
      </c>
      <c r="Q371" s="261"/>
      <c r="R371" s="261"/>
      <c r="S371" s="261"/>
      <c r="T371" s="261"/>
      <c r="U371" s="261"/>
      <c r="V371" s="261"/>
      <c r="W371" s="261"/>
      <c r="X371" s="261"/>
      <c r="Y371" s="261"/>
      <c r="Z371" s="237" t="str">
        <f>BIN2HEX(RIGHT((LEFT(Z367,16)),4))</f>
        <v>0</v>
      </c>
    </row>
    <row r="372" spans="2:26" ht="13.5" thickBot="1">
      <c r="B372" s="264" t="s">
        <v>17</v>
      </c>
      <c r="C372" s="265" t="str">
        <f t="shared" ref="C372:J372" si="16">HEX2BIN(C371,C370)</f>
        <v>0</v>
      </c>
      <c r="D372" s="265" t="str">
        <f t="shared" si="16"/>
        <v>0011010</v>
      </c>
      <c r="E372" s="265" t="str">
        <f t="shared" si="16"/>
        <v>00000000</v>
      </c>
      <c r="F372" s="265" t="str">
        <f t="shared" si="16"/>
        <v>0</v>
      </c>
      <c r="G372" s="265" t="str">
        <f t="shared" si="16"/>
        <v>00</v>
      </c>
      <c r="H372" s="265" t="str">
        <f t="shared" si="16"/>
        <v>0</v>
      </c>
      <c r="I372" s="265" t="str">
        <f t="shared" si="16"/>
        <v>00</v>
      </c>
      <c r="J372" s="265" t="str">
        <f t="shared" si="16"/>
        <v>0</v>
      </c>
      <c r="K372" s="265" t="str">
        <f t="shared" ref="K372:P372" si="17">HEX2BIN(K371,K370)</f>
        <v>0</v>
      </c>
      <c r="L372" s="265" t="str">
        <f t="shared" si="17"/>
        <v>0</v>
      </c>
      <c r="M372" s="265" t="str">
        <f t="shared" si="17"/>
        <v>00</v>
      </c>
      <c r="N372" s="265" t="str">
        <f t="shared" si="17"/>
        <v>0</v>
      </c>
      <c r="O372" s="265" t="str">
        <f t="shared" si="17"/>
        <v>000</v>
      </c>
      <c r="P372" s="265" t="str">
        <f t="shared" si="17"/>
        <v>0</v>
      </c>
      <c r="Q372" s="261"/>
      <c r="R372" s="261"/>
      <c r="S372" s="261"/>
      <c r="T372" s="261"/>
      <c r="U372" s="261"/>
      <c r="V372" s="261"/>
      <c r="W372" s="261"/>
      <c r="X372" s="261"/>
      <c r="Y372" s="261"/>
      <c r="Z372" s="237" t="str">
        <f>BIN2HEX(RIGHT((LEFT(Z367,20)),4))</f>
        <v>0</v>
      </c>
    </row>
    <row r="373" spans="2:26" ht="13.5" thickBot="1">
      <c r="B373" s="266" t="s">
        <v>18</v>
      </c>
      <c r="C373" s="267" t="str">
        <f>CONCATENATE("0x",Z368,Z369,Z370,Z371,Z372,Z373,Z374,Z375)</f>
        <v>0x1A000000</v>
      </c>
      <c r="Z373" s="237" t="str">
        <f>BIN2HEX(RIGHT((LEFT(Z367,24)),4))</f>
        <v>0</v>
      </c>
    </row>
    <row r="374" spans="2:26">
      <c r="Z374" s="237" t="str">
        <f>BIN2HEX(RIGHT((LEFT(Z367,28)),4))</f>
        <v>0</v>
      </c>
    </row>
    <row r="375" spans="2:26">
      <c r="Z375" s="237" t="str">
        <f>BIN2HEX(RIGHT((LEFT(Z367,33)),4))</f>
        <v>0</v>
      </c>
    </row>
    <row r="376" spans="2:26">
      <c r="Z376" s="242" t="s">
        <v>604</v>
      </c>
    </row>
    <row r="377" spans="2:26" ht="13.5" thickBot="1">
      <c r="Z377" s="237" t="str">
        <f>CONCATENATE(C382,D382,E382,F382,G382,H382)</f>
        <v>00000000010010000000010100011110</v>
      </c>
    </row>
    <row r="378" spans="2:26" ht="13.5" thickBot="1">
      <c r="B378" s="245" t="s">
        <v>896</v>
      </c>
      <c r="C378" s="246"/>
      <c r="D378" s="246"/>
      <c r="E378" s="246"/>
      <c r="F378" s="246"/>
      <c r="G378" s="246"/>
      <c r="H378" s="246"/>
      <c r="I378" s="276"/>
      <c r="J378" s="276"/>
      <c r="K378" s="276"/>
      <c r="L378" s="276"/>
      <c r="M378" s="276"/>
      <c r="N378" s="276"/>
      <c r="O378" s="276"/>
      <c r="P378" s="276"/>
      <c r="Q378" s="276"/>
      <c r="R378" s="276"/>
      <c r="S378" s="276"/>
      <c r="T378" s="276"/>
      <c r="U378" s="276"/>
      <c r="V378" s="276"/>
      <c r="W378" s="276"/>
      <c r="X378" s="276"/>
      <c r="Y378" s="276"/>
      <c r="Z378" s="237" t="str">
        <f>BIN2HEX(RIGHT((LEFT(Z377,4)),4))</f>
        <v>0</v>
      </c>
    </row>
    <row r="379" spans="2:26" ht="13.5" thickTop="1">
      <c r="B379" s="249"/>
      <c r="C379" s="268" t="s">
        <v>598</v>
      </c>
      <c r="D379" s="251" t="s">
        <v>599</v>
      </c>
      <c r="E379" s="251" t="s">
        <v>600</v>
      </c>
      <c r="F379" s="251" t="s">
        <v>601</v>
      </c>
      <c r="G379" s="251" t="s">
        <v>602</v>
      </c>
      <c r="H379" s="251" t="s">
        <v>603</v>
      </c>
      <c r="I379" s="271"/>
      <c r="J379" s="271"/>
      <c r="K379" s="271"/>
      <c r="L379" s="271"/>
      <c r="M379" s="271"/>
      <c r="N379" s="271"/>
      <c r="O379" s="271"/>
      <c r="P379" s="271"/>
      <c r="Q379" s="271"/>
      <c r="R379" s="271"/>
      <c r="S379" s="271"/>
      <c r="T379" s="271"/>
      <c r="U379" s="271"/>
      <c r="V379" s="271"/>
      <c r="W379" s="271"/>
      <c r="X379" s="271"/>
      <c r="Y379" s="271"/>
      <c r="Z379" s="237" t="str">
        <f>BIN2HEX(RIGHT((LEFT(Z377,8)),4))</f>
        <v>0</v>
      </c>
    </row>
    <row r="380" spans="2:26">
      <c r="B380" s="255" t="s">
        <v>189</v>
      </c>
      <c r="C380" s="256">
        <v>7</v>
      </c>
      <c r="D380" s="257">
        <v>9</v>
      </c>
      <c r="E380" s="257">
        <v>3</v>
      </c>
      <c r="F380" s="257">
        <v>5</v>
      </c>
      <c r="G380" s="257">
        <v>2</v>
      </c>
      <c r="H380" s="257">
        <v>6</v>
      </c>
      <c r="I380" s="274"/>
      <c r="J380" s="274"/>
      <c r="K380" s="274"/>
      <c r="L380" s="274"/>
      <c r="M380" s="274"/>
      <c r="N380" s="274"/>
      <c r="O380" s="274"/>
      <c r="P380" s="274"/>
      <c r="Q380" s="274"/>
      <c r="R380" s="274"/>
      <c r="S380" s="274"/>
      <c r="T380" s="274"/>
      <c r="U380" s="274"/>
      <c r="V380" s="274"/>
      <c r="W380" s="274"/>
      <c r="X380" s="274"/>
      <c r="Y380" s="274"/>
      <c r="Z380" s="237" t="str">
        <f>BIN2HEX(RIGHT((LEFT(Z377,12)),4))</f>
        <v>4</v>
      </c>
    </row>
    <row r="381" spans="2:26">
      <c r="B381" s="262" t="s">
        <v>16</v>
      </c>
      <c r="C381" s="263">
        <v>0</v>
      </c>
      <c r="D381" s="259" t="str">
        <f>DEC2HEX(CEILING(tPAR_ALERT_PW/tCK/2,1))</f>
        <v>48</v>
      </c>
      <c r="E381" s="259">
        <v>0</v>
      </c>
      <c r="F381" s="259" t="str">
        <f>DEC2HEX(CEILING(tCRC_ALERT_PW/tCK/2,1))</f>
        <v>5</v>
      </c>
      <c r="G381" s="259">
        <v>0</v>
      </c>
      <c r="H381" s="259" t="str">
        <f>DEC2HEX(32-2)</f>
        <v>1E</v>
      </c>
      <c r="I381" s="261"/>
      <c r="J381" s="261"/>
      <c r="K381" s="261"/>
      <c r="L381" s="261"/>
      <c r="M381" s="261"/>
      <c r="N381" s="261"/>
      <c r="O381" s="261"/>
      <c r="P381" s="261"/>
      <c r="Q381" s="261"/>
      <c r="R381" s="261"/>
      <c r="S381" s="261"/>
      <c r="T381" s="261"/>
      <c r="U381" s="261"/>
      <c r="V381" s="261"/>
      <c r="W381" s="261"/>
      <c r="X381" s="261"/>
      <c r="Y381" s="261"/>
      <c r="Z381" s="237" t="str">
        <f>BIN2HEX(RIGHT((LEFT(Z377,16)),4))</f>
        <v>8</v>
      </c>
    </row>
    <row r="382" spans="2:26" ht="13.5" thickBot="1">
      <c r="B382" s="264" t="s">
        <v>17</v>
      </c>
      <c r="C382" s="265" t="str">
        <f t="shared" ref="C382:H382" si="18">HEX2BIN(C381,C380)</f>
        <v>0000000</v>
      </c>
      <c r="D382" s="265" t="str">
        <f t="shared" si="18"/>
        <v>001001000</v>
      </c>
      <c r="E382" s="265" t="str">
        <f t="shared" si="18"/>
        <v>000</v>
      </c>
      <c r="F382" s="265" t="str">
        <f t="shared" si="18"/>
        <v>00101</v>
      </c>
      <c r="G382" s="265" t="str">
        <f t="shared" si="18"/>
        <v>00</v>
      </c>
      <c r="H382" s="265" t="str">
        <f t="shared" si="18"/>
        <v>011110</v>
      </c>
      <c r="I382" s="261"/>
      <c r="J382" s="261"/>
      <c r="K382" s="261"/>
      <c r="L382" s="261"/>
      <c r="M382" s="261"/>
      <c r="N382" s="261"/>
      <c r="O382" s="261"/>
      <c r="P382" s="261"/>
      <c r="Q382" s="261"/>
      <c r="R382" s="261"/>
      <c r="S382" s="261"/>
      <c r="T382" s="261"/>
      <c r="U382" s="261"/>
      <c r="V382" s="261"/>
      <c r="W382" s="261"/>
      <c r="X382" s="261"/>
      <c r="Y382" s="261"/>
      <c r="Z382" s="237" t="str">
        <f>BIN2HEX(RIGHT((LEFT(Z377,20)),4))</f>
        <v>0</v>
      </c>
    </row>
    <row r="383" spans="2:26" ht="13.5" thickBot="1">
      <c r="B383" s="266" t="s">
        <v>18</v>
      </c>
      <c r="C383" s="267" t="str">
        <f>CONCATENATE("0x",Z378,Z379,Z380,Z381,Z382,Z383,Z384,Z385)</f>
        <v>0x0048051E</v>
      </c>
      <c r="Z383" s="237" t="str">
        <f>BIN2HEX(RIGHT((LEFT(Z377,24)),4))</f>
        <v>5</v>
      </c>
    </row>
    <row r="384" spans="2:26">
      <c r="Z384" s="237" t="str">
        <f>BIN2HEX(RIGHT((LEFT(Z377,28)),4))</f>
        <v>1</v>
      </c>
    </row>
    <row r="385" spans="2:26">
      <c r="Z385" s="237" t="str">
        <f>BIN2HEX(RIGHT((LEFT(Z377,33)),4))</f>
        <v>E</v>
      </c>
    </row>
    <row r="386" spans="2:26">
      <c r="Z386" s="242" t="s">
        <v>654</v>
      </c>
    </row>
    <row r="387" spans="2:26" ht="13.5" thickBot="1">
      <c r="Z387" s="237" t="str">
        <f>CONCATENATE(C392,D392)</f>
        <v>00000000000000000000000000011111</v>
      </c>
    </row>
    <row r="388" spans="2:26" ht="13.5" thickBot="1">
      <c r="B388" s="245" t="s">
        <v>778</v>
      </c>
      <c r="C388" s="246"/>
      <c r="D388" s="246"/>
      <c r="E388" s="276"/>
      <c r="F388" s="276"/>
      <c r="G388" s="276"/>
      <c r="H388" s="276"/>
      <c r="I388" s="276"/>
      <c r="J388" s="276"/>
      <c r="K388" s="276"/>
      <c r="L388" s="276"/>
      <c r="M388" s="276"/>
      <c r="N388" s="276"/>
      <c r="O388" s="276"/>
      <c r="P388" s="276"/>
      <c r="Q388" s="276"/>
      <c r="R388" s="276"/>
      <c r="S388" s="276"/>
      <c r="T388" s="276"/>
      <c r="U388" s="276"/>
      <c r="V388" s="276"/>
      <c r="W388" s="276"/>
      <c r="X388" s="276"/>
      <c r="Y388" s="276"/>
      <c r="Z388" s="237" t="str">
        <f>BIN2HEX(RIGHT((LEFT(Z387,4)),4))</f>
        <v>0</v>
      </c>
    </row>
    <row r="389" spans="2:26" ht="13.5" thickTop="1">
      <c r="B389" s="249"/>
      <c r="C389" s="268" t="s">
        <v>1529</v>
      </c>
      <c r="D389" s="251" t="s">
        <v>657</v>
      </c>
      <c r="E389" s="271"/>
      <c r="F389" s="271"/>
      <c r="G389" s="271"/>
      <c r="H389" s="271"/>
      <c r="I389" s="271"/>
      <c r="J389" s="271"/>
      <c r="K389" s="271"/>
      <c r="L389" s="271"/>
      <c r="M389" s="271"/>
      <c r="N389" s="271"/>
      <c r="O389" s="271"/>
      <c r="P389" s="271"/>
      <c r="Q389" s="271"/>
      <c r="R389" s="271"/>
      <c r="S389" s="271"/>
      <c r="T389" s="271"/>
      <c r="U389" s="271"/>
      <c r="V389" s="271"/>
      <c r="W389" s="271"/>
      <c r="X389" s="271"/>
      <c r="Y389" s="271"/>
      <c r="Z389" s="237" t="str">
        <f>BIN2HEX(RIGHT((LEFT(Z387,8)),4))</f>
        <v>0</v>
      </c>
    </row>
    <row r="390" spans="2:26">
      <c r="B390" s="255" t="s">
        <v>189</v>
      </c>
      <c r="C390" s="256">
        <v>27</v>
      </c>
      <c r="D390" s="257">
        <v>5</v>
      </c>
      <c r="E390" s="274"/>
      <c r="F390" s="274"/>
      <c r="G390" s="274"/>
      <c r="H390" s="274"/>
      <c r="I390" s="274"/>
      <c r="J390" s="274"/>
      <c r="K390" s="274"/>
      <c r="L390" s="274"/>
      <c r="M390" s="274"/>
      <c r="N390" s="274"/>
      <c r="O390" s="274"/>
      <c r="P390" s="274"/>
      <c r="Q390" s="274"/>
      <c r="R390" s="274"/>
      <c r="S390" s="274"/>
      <c r="T390" s="274"/>
      <c r="U390" s="274"/>
      <c r="V390" s="274"/>
      <c r="W390" s="274"/>
      <c r="X390" s="274"/>
      <c r="Y390" s="274"/>
      <c r="Z390" s="237" t="str">
        <f>BIN2HEX(RIGHT((LEFT(Z387,12)),4))</f>
        <v>0</v>
      </c>
    </row>
    <row r="391" spans="2:26">
      <c r="B391" s="262" t="s">
        <v>16</v>
      </c>
      <c r="C391" s="263">
        <v>0</v>
      </c>
      <c r="D391" s="259" t="str">
        <f>DEC2HEX(cs_bit0)</f>
        <v>1F</v>
      </c>
      <c r="E391" s="261"/>
      <c r="F391" s="261"/>
      <c r="G391" s="261"/>
      <c r="H391" s="261"/>
      <c r="I391" s="261"/>
      <c r="J391" s="261"/>
      <c r="K391" s="261"/>
      <c r="L391" s="261"/>
      <c r="M391" s="261"/>
      <c r="N391" s="261"/>
      <c r="O391" s="261"/>
      <c r="P391" s="261"/>
      <c r="Q391" s="261"/>
      <c r="R391" s="261"/>
      <c r="S391" s="261"/>
      <c r="T391" s="261"/>
      <c r="U391" s="261"/>
      <c r="V391" s="261"/>
      <c r="W391" s="261"/>
      <c r="X391" s="261"/>
      <c r="Y391" s="261"/>
      <c r="Z391" s="237" t="str">
        <f>BIN2HEX(RIGHT((LEFT(Z387,16)),4))</f>
        <v>0</v>
      </c>
    </row>
    <row r="392" spans="2:26" ht="13.5" thickBot="1">
      <c r="B392" s="264" t="s">
        <v>17</v>
      </c>
      <c r="C392" s="277" t="s">
        <v>1530</v>
      </c>
      <c r="D392" s="265" t="str">
        <f>HEX2BIN(D391,D390)</f>
        <v>11111</v>
      </c>
      <c r="E392" s="261"/>
      <c r="F392" s="261"/>
      <c r="G392" s="261"/>
      <c r="H392" s="261"/>
      <c r="I392" s="261"/>
      <c r="J392" s="261"/>
      <c r="K392" s="261"/>
      <c r="L392" s="261"/>
      <c r="M392" s="261"/>
      <c r="N392" s="261"/>
      <c r="O392" s="261"/>
      <c r="P392" s="261"/>
      <c r="Q392" s="261"/>
      <c r="R392" s="261"/>
      <c r="S392" s="261"/>
      <c r="T392" s="261"/>
      <c r="U392" s="261"/>
      <c r="V392" s="261"/>
      <c r="W392" s="261"/>
      <c r="X392" s="261"/>
      <c r="Y392" s="261"/>
      <c r="Z392" s="237" t="str">
        <f>BIN2HEX(RIGHT((LEFT(Z387,20)),4))</f>
        <v>0</v>
      </c>
    </row>
    <row r="393" spans="2:26" ht="13.5" thickBot="1">
      <c r="B393" s="266" t="s">
        <v>18</v>
      </c>
      <c r="C393" s="267" t="str">
        <f>CONCATENATE("0x",Z388,Z389,Z390,Z391,Z392,Z393,Z394,Z395)</f>
        <v>0x0000001F</v>
      </c>
      <c r="Z393" s="237" t="str">
        <f>BIN2HEX(RIGHT((LEFT(Z387,24)),4))</f>
        <v>0</v>
      </c>
    </row>
    <row r="394" spans="2:26">
      <c r="Z394" s="237" t="str">
        <f>BIN2HEX(RIGHT((LEFT(Z387,28)),4))</f>
        <v>1</v>
      </c>
    </row>
    <row r="395" spans="2:26">
      <c r="Z395" s="237" t="str">
        <f>BIN2HEX(RIGHT((LEFT(Z387,33)),4))</f>
        <v>F</v>
      </c>
    </row>
    <row r="397" spans="2:26">
      <c r="Z397" s="237" t="s">
        <v>680</v>
      </c>
    </row>
    <row r="398" spans="2:26" ht="13.5" thickBot="1">
      <c r="Z398" s="237" t="str">
        <f>CONCATENATE(C403,D403,E403,F403,G403,H403)</f>
        <v>00000000001111110000100000001000</v>
      </c>
    </row>
    <row r="399" spans="2:26" ht="13.5" thickBot="1">
      <c r="B399" s="245" t="s">
        <v>779</v>
      </c>
      <c r="C399" s="246"/>
      <c r="D399" s="246"/>
      <c r="E399" s="246"/>
      <c r="F399" s="246"/>
      <c r="G399" s="246"/>
      <c r="H399" s="246"/>
      <c r="I399" s="276"/>
      <c r="J399" s="276"/>
      <c r="K399" s="276"/>
      <c r="L399" s="276"/>
      <c r="M399" s="276"/>
      <c r="N399" s="276"/>
      <c r="O399" s="276"/>
      <c r="P399" s="276"/>
      <c r="Q399" s="276"/>
      <c r="R399" s="276"/>
      <c r="S399" s="276"/>
      <c r="T399" s="276"/>
      <c r="U399" s="276"/>
      <c r="V399" s="276"/>
      <c r="W399" s="276"/>
      <c r="X399" s="276"/>
      <c r="Y399" s="276"/>
      <c r="Z399" s="237" t="str">
        <f>BIN2HEX(RIGHT((LEFT(Z398,4)),4))</f>
        <v>0</v>
      </c>
    </row>
    <row r="400" spans="2:26" ht="13.5" thickTop="1">
      <c r="B400" s="249"/>
      <c r="C400" s="268" t="s">
        <v>656</v>
      </c>
      <c r="D400" s="251" t="s">
        <v>655</v>
      </c>
      <c r="E400" s="251" t="s">
        <v>325</v>
      </c>
      <c r="F400" s="251" t="s">
        <v>658</v>
      </c>
      <c r="G400" s="251" t="s">
        <v>602</v>
      </c>
      <c r="H400" s="251" t="s">
        <v>715</v>
      </c>
      <c r="I400" s="271"/>
      <c r="J400" s="271"/>
      <c r="K400" s="271"/>
      <c r="L400" s="271"/>
      <c r="M400" s="271"/>
      <c r="N400" s="271"/>
      <c r="O400" s="271"/>
      <c r="P400" s="271"/>
      <c r="Q400" s="271"/>
      <c r="R400" s="271"/>
      <c r="S400" s="271"/>
      <c r="T400" s="271"/>
      <c r="U400" s="271"/>
      <c r="V400" s="271"/>
      <c r="W400" s="271"/>
      <c r="X400" s="271"/>
      <c r="Y400" s="271"/>
      <c r="Z400" s="237" t="str">
        <f>BIN2HEX(RIGHT((LEFT(Z398,8)),4))</f>
        <v>0</v>
      </c>
    </row>
    <row r="401" spans="2:26">
      <c r="B401" s="255" t="s">
        <v>189</v>
      </c>
      <c r="C401" s="256">
        <v>10</v>
      </c>
      <c r="D401" s="257">
        <v>6</v>
      </c>
      <c r="E401" s="257">
        <v>2</v>
      </c>
      <c r="F401" s="257">
        <v>6</v>
      </c>
      <c r="G401" s="257">
        <v>2</v>
      </c>
      <c r="H401" s="257">
        <v>6</v>
      </c>
      <c r="I401" s="274"/>
      <c r="J401" s="274"/>
      <c r="K401" s="274"/>
      <c r="L401" s="274"/>
      <c r="M401" s="274"/>
      <c r="N401" s="274"/>
      <c r="O401" s="274"/>
      <c r="P401" s="274"/>
      <c r="Q401" s="274"/>
      <c r="R401" s="274"/>
      <c r="S401" s="274"/>
      <c r="T401" s="274"/>
      <c r="U401" s="274"/>
      <c r="V401" s="274"/>
      <c r="W401" s="274"/>
      <c r="X401" s="274"/>
      <c r="Y401" s="274"/>
      <c r="Z401" s="237" t="str">
        <f>BIN2HEX(RIGHT((LEFT(Z398,12)),4))</f>
        <v>3</v>
      </c>
    </row>
    <row r="402" spans="2:26">
      <c r="B402" s="262" t="s">
        <v>16</v>
      </c>
      <c r="C402" s="263">
        <v>0</v>
      </c>
      <c r="D402" s="259" t="str">
        <f>DEC2HEX(bank_b2)</f>
        <v>3F</v>
      </c>
      <c r="E402" s="259">
        <v>0</v>
      </c>
      <c r="F402" s="259" t="str">
        <f>DEC2HEX(bank_b1)</f>
        <v>8</v>
      </c>
      <c r="G402" s="259">
        <v>0</v>
      </c>
      <c r="H402" s="259" t="str">
        <f>DEC2HEX(bank_b0)</f>
        <v>8</v>
      </c>
      <c r="I402" s="261"/>
      <c r="J402" s="261"/>
      <c r="K402" s="261"/>
      <c r="L402" s="261"/>
      <c r="M402" s="261"/>
      <c r="N402" s="261"/>
      <c r="O402" s="261"/>
      <c r="P402" s="261"/>
      <c r="Q402" s="261"/>
      <c r="R402" s="261"/>
      <c r="S402" s="261"/>
      <c r="T402" s="261"/>
      <c r="U402" s="261"/>
      <c r="V402" s="261"/>
      <c r="W402" s="261"/>
      <c r="X402" s="261"/>
      <c r="Y402" s="261"/>
      <c r="Z402" s="237" t="str">
        <f>BIN2HEX(RIGHT((LEFT(Z398,16)),4))</f>
        <v>F</v>
      </c>
    </row>
    <row r="403" spans="2:26" ht="13.5" thickBot="1">
      <c r="B403" s="264" t="s">
        <v>17</v>
      </c>
      <c r="C403" s="265" t="str">
        <f t="shared" ref="C403:H403" si="19">HEX2BIN(C402,C401)</f>
        <v>0000000000</v>
      </c>
      <c r="D403" s="265" t="str">
        <f t="shared" si="19"/>
        <v>111111</v>
      </c>
      <c r="E403" s="265" t="str">
        <f t="shared" si="19"/>
        <v>00</v>
      </c>
      <c r="F403" s="265" t="str">
        <f t="shared" si="19"/>
        <v>001000</v>
      </c>
      <c r="G403" s="265" t="str">
        <f t="shared" si="19"/>
        <v>00</v>
      </c>
      <c r="H403" s="265" t="str">
        <f t="shared" si="19"/>
        <v>001000</v>
      </c>
      <c r="I403" s="261"/>
      <c r="J403" s="261"/>
      <c r="K403" s="261"/>
      <c r="L403" s="261"/>
      <c r="M403" s="261"/>
      <c r="N403" s="261"/>
      <c r="O403" s="261"/>
      <c r="P403" s="261"/>
      <c r="Q403" s="261"/>
      <c r="R403" s="261"/>
      <c r="S403" s="261"/>
      <c r="T403" s="261"/>
      <c r="U403" s="261"/>
      <c r="V403" s="261"/>
      <c r="W403" s="261"/>
      <c r="X403" s="261"/>
      <c r="Y403" s="261"/>
      <c r="Z403" s="237" t="str">
        <f>BIN2HEX(RIGHT((LEFT(Z398,20)),4))</f>
        <v>0</v>
      </c>
    </row>
    <row r="404" spans="2:26" ht="13.5" thickBot="1">
      <c r="B404" s="266" t="s">
        <v>18</v>
      </c>
      <c r="C404" s="267" t="str">
        <f>CONCATENATE("0x",Z399,Z400,Z401,Z402,Z403,Z404,Z405,Z406)</f>
        <v>0x003F0808</v>
      </c>
      <c r="Z404" s="237" t="str">
        <f>BIN2HEX(RIGHT((LEFT(Z398,24)),4))</f>
        <v>8</v>
      </c>
    </row>
    <row r="405" spans="2:26">
      <c r="Z405" s="237" t="str">
        <f>BIN2HEX(RIGHT((LEFT(Z398,28)),4))</f>
        <v>0</v>
      </c>
    </row>
    <row r="406" spans="2:26">
      <c r="Z406" s="237" t="str">
        <f>BIN2HEX(RIGHT((LEFT(Z398,33)),4))</f>
        <v>8</v>
      </c>
    </row>
    <row r="408" spans="2:26">
      <c r="Z408" s="237" t="s">
        <v>679</v>
      </c>
    </row>
    <row r="409" spans="2:26" ht="13.5" thickBot="1">
      <c r="Z409" s="237" t="str">
        <f>CONCATENATE(C414,D414,E414,F414,G414,H414,I414,J414)</f>
        <v>00000000000000000000000000000000</v>
      </c>
    </row>
    <row r="410" spans="2:26" ht="13.5" thickBot="1">
      <c r="B410" s="245" t="s">
        <v>780</v>
      </c>
      <c r="C410" s="246"/>
      <c r="D410" s="246"/>
      <c r="E410" s="246"/>
      <c r="F410" s="246"/>
      <c r="G410" s="246"/>
      <c r="H410" s="246"/>
      <c r="I410" s="246"/>
      <c r="J410" s="246"/>
      <c r="K410" s="276"/>
      <c r="L410" s="276"/>
      <c r="M410" s="276"/>
      <c r="N410" s="276"/>
      <c r="O410" s="276"/>
      <c r="P410" s="276"/>
      <c r="Q410" s="276"/>
      <c r="R410" s="276"/>
      <c r="S410" s="276"/>
      <c r="T410" s="276"/>
      <c r="U410" s="276"/>
      <c r="V410" s="276"/>
      <c r="W410" s="276"/>
      <c r="X410" s="276"/>
      <c r="Y410" s="276"/>
      <c r="Z410" s="237" t="str">
        <f>BIN2HEX(RIGHT((LEFT(Z409,4)),4))</f>
        <v>0</v>
      </c>
    </row>
    <row r="411" spans="2:26" ht="13.5" thickTop="1">
      <c r="B411" s="249"/>
      <c r="C411" s="242" t="s">
        <v>569</v>
      </c>
      <c r="D411" s="268" t="s">
        <v>659</v>
      </c>
      <c r="E411" s="251" t="s">
        <v>660</v>
      </c>
      <c r="F411" s="251" t="s">
        <v>661</v>
      </c>
      <c r="G411" s="251" t="s">
        <v>359</v>
      </c>
      <c r="H411" s="251" t="s">
        <v>662</v>
      </c>
      <c r="I411" s="251" t="s">
        <v>663</v>
      </c>
      <c r="J411" s="251" t="s">
        <v>664</v>
      </c>
      <c r="K411" s="271"/>
      <c r="L411" s="271"/>
      <c r="M411" s="271"/>
      <c r="N411" s="271"/>
      <c r="O411" s="271"/>
      <c r="P411" s="271"/>
      <c r="Q411" s="271"/>
      <c r="R411" s="271"/>
      <c r="S411" s="271"/>
      <c r="T411" s="271"/>
      <c r="U411" s="271"/>
      <c r="V411" s="271"/>
      <c r="W411" s="271"/>
      <c r="X411" s="271"/>
      <c r="Y411" s="271"/>
      <c r="Z411" s="237" t="str">
        <f>BIN2HEX(RIGHT((LEFT(Z409,8)),4))</f>
        <v>0</v>
      </c>
    </row>
    <row r="412" spans="2:26">
      <c r="B412" s="255" t="s">
        <v>189</v>
      </c>
      <c r="C412" s="256">
        <v>4</v>
      </c>
      <c r="D412" s="257">
        <v>4</v>
      </c>
      <c r="E412" s="257">
        <v>4</v>
      </c>
      <c r="F412" s="257">
        <v>4</v>
      </c>
      <c r="G412" s="257">
        <v>4</v>
      </c>
      <c r="H412" s="257">
        <v>4</v>
      </c>
      <c r="I412" s="257">
        <v>4</v>
      </c>
      <c r="J412" s="257">
        <v>4</v>
      </c>
      <c r="K412" s="274"/>
      <c r="L412" s="274"/>
      <c r="M412" s="274"/>
      <c r="N412" s="274"/>
      <c r="O412" s="274"/>
      <c r="P412" s="274"/>
      <c r="Q412" s="274"/>
      <c r="R412" s="274"/>
      <c r="S412" s="274"/>
      <c r="T412" s="274"/>
      <c r="U412" s="274"/>
      <c r="V412" s="274"/>
      <c r="W412" s="274"/>
      <c r="X412" s="274"/>
      <c r="Y412" s="274"/>
      <c r="Z412" s="237" t="str">
        <f>BIN2HEX(RIGHT((LEFT(Z409,12)),4))</f>
        <v>0</v>
      </c>
    </row>
    <row r="413" spans="2:26">
      <c r="B413" s="262" t="s">
        <v>16</v>
      </c>
      <c r="C413" s="263">
        <v>0</v>
      </c>
      <c r="D413" s="259" t="str">
        <f>DEC2HEX(col_b5)</f>
        <v>0</v>
      </c>
      <c r="E413" s="259">
        <v>0</v>
      </c>
      <c r="F413" s="259" t="str">
        <f>DEC2HEX(col_b4)</f>
        <v>0</v>
      </c>
      <c r="G413" s="259">
        <v>0</v>
      </c>
      <c r="H413" s="259" t="str">
        <f>DEC2HEX(col_b3)</f>
        <v>0</v>
      </c>
      <c r="I413" s="259">
        <v>0</v>
      </c>
      <c r="J413" s="259" t="str">
        <f>DEC2HEX(col_b2)</f>
        <v>0</v>
      </c>
      <c r="K413" s="261"/>
      <c r="L413" s="261"/>
      <c r="M413" s="261"/>
      <c r="N413" s="261"/>
      <c r="O413" s="261"/>
      <c r="P413" s="261"/>
      <c r="Q413" s="261"/>
      <c r="R413" s="261"/>
      <c r="S413" s="261"/>
      <c r="T413" s="261"/>
      <c r="U413" s="261"/>
      <c r="V413" s="261"/>
      <c r="W413" s="261"/>
      <c r="X413" s="261"/>
      <c r="Y413" s="261"/>
      <c r="Z413" s="237" t="str">
        <f>BIN2HEX(RIGHT((LEFT(Z409,16)),4))</f>
        <v>0</v>
      </c>
    </row>
    <row r="414" spans="2:26" ht="13.5" thickBot="1">
      <c r="B414" s="264" t="s">
        <v>17</v>
      </c>
      <c r="C414" s="265" t="str">
        <f t="shared" ref="C414:H414" si="20">HEX2BIN(C413,C412)</f>
        <v>0000</v>
      </c>
      <c r="D414" s="265" t="str">
        <f t="shared" si="20"/>
        <v>0000</v>
      </c>
      <c r="E414" s="265" t="str">
        <f t="shared" si="20"/>
        <v>0000</v>
      </c>
      <c r="F414" s="265" t="str">
        <f t="shared" si="20"/>
        <v>0000</v>
      </c>
      <c r="G414" s="265" t="str">
        <f t="shared" si="20"/>
        <v>0000</v>
      </c>
      <c r="H414" s="265" t="str">
        <f t="shared" si="20"/>
        <v>0000</v>
      </c>
      <c r="I414" s="265" t="str">
        <f>HEX2BIN(I413,I412)</f>
        <v>0000</v>
      </c>
      <c r="J414" s="265" t="str">
        <f>HEX2BIN(J413,J412)</f>
        <v>0000</v>
      </c>
      <c r="K414" s="261"/>
      <c r="L414" s="261"/>
      <c r="M414" s="261"/>
      <c r="N414" s="261"/>
      <c r="O414" s="261"/>
      <c r="P414" s="261"/>
      <c r="Q414" s="261"/>
      <c r="R414" s="261"/>
      <c r="S414" s="261"/>
      <c r="T414" s="261"/>
      <c r="U414" s="261"/>
      <c r="V414" s="261"/>
      <c r="W414" s="261"/>
      <c r="X414" s="261"/>
      <c r="Y414" s="261"/>
      <c r="Z414" s="237" t="str">
        <f>BIN2HEX(RIGHT((LEFT(Z409,20)),4))</f>
        <v>0</v>
      </c>
    </row>
    <row r="415" spans="2:26" ht="13.5" thickBot="1">
      <c r="B415" s="266" t="s">
        <v>18</v>
      </c>
      <c r="C415" s="267" t="str">
        <f>CONCATENATE("0x",Z410,Z411,Z412,Z413,Z414,Z415,Z416,Z417)</f>
        <v>0x00000000</v>
      </c>
      <c r="Z415" s="237" t="str">
        <f>BIN2HEX(RIGHT((LEFT(Z409,24)),4))</f>
        <v>0</v>
      </c>
    </row>
    <row r="416" spans="2:26">
      <c r="Z416" s="237" t="str">
        <f>BIN2HEX(RIGHT((LEFT(Z409,28)),4))</f>
        <v>0</v>
      </c>
    </row>
    <row r="417" spans="2:26">
      <c r="Z417" s="237" t="str">
        <f>BIN2HEX(RIGHT((LEFT(Z409,33)),4))</f>
        <v>0</v>
      </c>
    </row>
    <row r="420" spans="2:26">
      <c r="Z420" s="237" t="s">
        <v>678</v>
      </c>
    </row>
    <row r="421" spans="2:26" ht="13.5" thickBot="1">
      <c r="Z421" s="237" t="str">
        <f>CONCATENATE(C426,D426,E426,F426,G426,H426,I426,J426)</f>
        <v>00000000000000000000000000000000</v>
      </c>
    </row>
    <row r="422" spans="2:26" ht="13.5" thickBot="1">
      <c r="B422" s="245" t="s">
        <v>781</v>
      </c>
      <c r="C422" s="246"/>
      <c r="D422" s="246"/>
      <c r="E422" s="246"/>
      <c r="F422" s="246"/>
      <c r="G422" s="246"/>
      <c r="H422" s="246"/>
      <c r="I422" s="246"/>
      <c r="J422" s="246"/>
      <c r="K422" s="276"/>
      <c r="L422" s="276"/>
      <c r="M422" s="276"/>
      <c r="N422" s="276"/>
      <c r="O422" s="276"/>
      <c r="P422" s="276"/>
      <c r="Q422" s="276"/>
      <c r="R422" s="276"/>
      <c r="S422" s="276"/>
      <c r="T422" s="276"/>
      <c r="U422" s="276"/>
      <c r="V422" s="276"/>
      <c r="W422" s="276"/>
      <c r="X422" s="276"/>
      <c r="Y422" s="276"/>
      <c r="Z422" s="237" t="str">
        <f>BIN2HEX(RIGHT((LEFT(Z421,4)),4))</f>
        <v>0</v>
      </c>
    </row>
    <row r="423" spans="2:26" ht="13.5" thickTop="1">
      <c r="B423" s="249"/>
      <c r="C423" s="268" t="s">
        <v>669</v>
      </c>
      <c r="D423" s="251" t="s">
        <v>665</v>
      </c>
      <c r="E423" s="251" t="s">
        <v>571</v>
      </c>
      <c r="F423" s="251" t="s">
        <v>666</v>
      </c>
      <c r="G423" s="251" t="s">
        <v>600</v>
      </c>
      <c r="H423" s="251" t="s">
        <v>667</v>
      </c>
      <c r="I423" s="251" t="s">
        <v>385</v>
      </c>
      <c r="J423" s="251" t="s">
        <v>668</v>
      </c>
      <c r="K423" s="271"/>
      <c r="L423" s="271"/>
      <c r="M423" s="271"/>
      <c r="N423" s="271"/>
      <c r="O423" s="271"/>
      <c r="P423" s="271"/>
      <c r="Q423" s="271"/>
      <c r="R423" s="271"/>
      <c r="S423" s="271"/>
      <c r="T423" s="271"/>
      <c r="U423" s="271"/>
      <c r="V423" s="271"/>
      <c r="W423" s="271"/>
      <c r="X423" s="271"/>
      <c r="Y423" s="271"/>
      <c r="Z423" s="237" t="str">
        <f>BIN2HEX(RIGHT((LEFT(Z421,8)),4))</f>
        <v>0</v>
      </c>
    </row>
    <row r="424" spans="2:26">
      <c r="B424" s="255" t="s">
        <v>189</v>
      </c>
      <c r="C424" s="256">
        <v>3</v>
      </c>
      <c r="D424" s="257">
        <v>5</v>
      </c>
      <c r="E424" s="257">
        <v>3</v>
      </c>
      <c r="F424" s="257">
        <v>5</v>
      </c>
      <c r="G424" s="257">
        <v>3</v>
      </c>
      <c r="H424" s="257">
        <v>5</v>
      </c>
      <c r="I424" s="257">
        <v>4</v>
      </c>
      <c r="J424" s="257">
        <v>4</v>
      </c>
      <c r="K424" s="274"/>
      <c r="L424" s="274"/>
      <c r="M424" s="274"/>
      <c r="N424" s="274"/>
      <c r="O424" s="274"/>
      <c r="P424" s="274"/>
      <c r="Q424" s="274"/>
      <c r="R424" s="274"/>
      <c r="S424" s="274"/>
      <c r="T424" s="274"/>
      <c r="U424" s="274"/>
      <c r="V424" s="274"/>
      <c r="W424" s="274"/>
      <c r="X424" s="274"/>
      <c r="Y424" s="274"/>
      <c r="Z424" s="237" t="str">
        <f>BIN2HEX(RIGHT((LEFT(Z421,12)),4))</f>
        <v>0</v>
      </c>
    </row>
    <row r="425" spans="2:26">
      <c r="B425" s="262" t="s">
        <v>16</v>
      </c>
      <c r="C425" s="259">
        <v>0</v>
      </c>
      <c r="D425" s="259" t="str">
        <f>DEC2HEX(col_b9)</f>
        <v>0</v>
      </c>
      <c r="E425" s="259">
        <v>0</v>
      </c>
      <c r="F425" s="259" t="str">
        <f>DEC2HEX(col_b8)</f>
        <v>0</v>
      </c>
      <c r="G425" s="259">
        <v>0</v>
      </c>
      <c r="H425" s="259" t="str">
        <f>DEC2HEX(col_b7)</f>
        <v>0</v>
      </c>
      <c r="I425" s="259">
        <v>0</v>
      </c>
      <c r="J425" s="259" t="str">
        <f>DEC2HEX(col_b6)</f>
        <v>0</v>
      </c>
      <c r="K425" s="261"/>
      <c r="L425" s="261"/>
      <c r="M425" s="261"/>
      <c r="N425" s="261"/>
      <c r="O425" s="261"/>
      <c r="P425" s="261"/>
      <c r="Q425" s="261"/>
      <c r="R425" s="261"/>
      <c r="S425" s="261"/>
      <c r="T425" s="261"/>
      <c r="U425" s="261"/>
      <c r="V425" s="261"/>
      <c r="W425" s="261"/>
      <c r="X425" s="261"/>
      <c r="Y425" s="261"/>
      <c r="Z425" s="237" t="str">
        <f>BIN2HEX(RIGHT((LEFT(Z421,16)),4))</f>
        <v>0</v>
      </c>
    </row>
    <row r="426" spans="2:26" ht="13.5" thickBot="1">
      <c r="B426" s="264" t="s">
        <v>17</v>
      </c>
      <c r="C426" s="265" t="str">
        <f t="shared" ref="C426:H426" si="21">HEX2BIN(C425,C424)</f>
        <v>000</v>
      </c>
      <c r="D426" s="265" t="str">
        <f t="shared" si="21"/>
        <v>00000</v>
      </c>
      <c r="E426" s="265" t="str">
        <f t="shared" si="21"/>
        <v>000</v>
      </c>
      <c r="F426" s="265" t="str">
        <f t="shared" si="21"/>
        <v>00000</v>
      </c>
      <c r="G426" s="265" t="str">
        <f t="shared" si="21"/>
        <v>000</v>
      </c>
      <c r="H426" s="265" t="str">
        <f t="shared" si="21"/>
        <v>00000</v>
      </c>
      <c r="I426" s="265" t="str">
        <f>HEX2BIN(I425,I424)</f>
        <v>0000</v>
      </c>
      <c r="J426" s="265" t="str">
        <f>HEX2BIN(J425,J424)</f>
        <v>0000</v>
      </c>
      <c r="K426" s="261"/>
      <c r="L426" s="261"/>
      <c r="M426" s="261"/>
      <c r="N426" s="261"/>
      <c r="O426" s="261"/>
      <c r="P426" s="261"/>
      <c r="Q426" s="261"/>
      <c r="R426" s="261"/>
      <c r="S426" s="261"/>
      <c r="T426" s="261"/>
      <c r="U426" s="261"/>
      <c r="V426" s="261"/>
      <c r="W426" s="261"/>
      <c r="X426" s="261"/>
      <c r="Y426" s="261"/>
      <c r="Z426" s="237" t="str">
        <f>BIN2HEX(RIGHT((LEFT(Z421,20)),4))</f>
        <v>0</v>
      </c>
    </row>
    <row r="427" spans="2:26" ht="13.5" thickBot="1">
      <c r="B427" s="266" t="s">
        <v>18</v>
      </c>
      <c r="C427" s="267" t="str">
        <f>CONCATENATE("0x",Z422,Z423,Z424,Z425,Z426,Z427,Z428,Z429)</f>
        <v>0x00000000</v>
      </c>
      <c r="Z427" s="237" t="str">
        <f>BIN2HEX(RIGHT((LEFT(Z421,24)),4))</f>
        <v>0</v>
      </c>
    </row>
    <row r="428" spans="2:26">
      <c r="Z428" s="237" t="str">
        <f>BIN2HEX(RIGHT((LEFT(Z421,28)),4))</f>
        <v>0</v>
      </c>
    </row>
    <row r="429" spans="2:26">
      <c r="Z429" s="237" t="str">
        <f>BIN2HEX(RIGHT((LEFT(Z421,33)),4))</f>
        <v>0</v>
      </c>
    </row>
    <row r="431" spans="2:26">
      <c r="Z431" s="237" t="s">
        <v>677</v>
      </c>
    </row>
    <row r="432" spans="2:26" ht="13.5" thickBot="1">
      <c r="Z432" s="237" t="str">
        <f>CONCATENATE(C437,D437,E437,F437,G437,H437)</f>
        <v>00000000000000000001111100011111</v>
      </c>
    </row>
    <row r="433" spans="2:26" ht="13.5" thickBot="1">
      <c r="B433" s="245" t="s">
        <v>782</v>
      </c>
      <c r="C433" s="246"/>
      <c r="D433" s="246"/>
      <c r="E433" s="246"/>
      <c r="F433" s="246"/>
      <c r="G433" s="246"/>
      <c r="H433" s="246"/>
      <c r="I433" s="276"/>
      <c r="J433" s="276"/>
      <c r="K433" s="276"/>
      <c r="L433" s="276"/>
      <c r="M433" s="276"/>
      <c r="N433" s="276"/>
      <c r="O433" s="276"/>
      <c r="P433" s="276"/>
      <c r="Q433" s="276"/>
      <c r="R433" s="276"/>
      <c r="S433" s="276"/>
      <c r="T433" s="276"/>
      <c r="U433" s="276"/>
      <c r="V433" s="276"/>
      <c r="W433" s="276"/>
      <c r="X433" s="276"/>
      <c r="Y433" s="276"/>
      <c r="Z433" s="237" t="str">
        <f>BIN2HEX(RIGHT((LEFT(Z432,4)),4))</f>
        <v>0</v>
      </c>
    </row>
    <row r="434" spans="2:26" ht="13.5" thickTop="1">
      <c r="B434" s="249"/>
      <c r="C434" s="268" t="s">
        <v>422</v>
      </c>
      <c r="D434" s="251" t="s">
        <v>670</v>
      </c>
      <c r="E434" s="251" t="s">
        <v>652</v>
      </c>
      <c r="F434" s="251" t="s">
        <v>671</v>
      </c>
      <c r="G434" s="251"/>
      <c r="H434" s="251"/>
      <c r="I434" s="271"/>
      <c r="J434" s="271"/>
      <c r="K434" s="271"/>
      <c r="L434" s="271"/>
      <c r="M434" s="271"/>
      <c r="N434" s="271"/>
      <c r="O434" s="271"/>
      <c r="P434" s="271"/>
      <c r="Q434" s="271"/>
      <c r="R434" s="271"/>
      <c r="S434" s="271"/>
      <c r="T434" s="271"/>
      <c r="U434" s="271"/>
      <c r="V434" s="271"/>
      <c r="W434" s="271"/>
      <c r="X434" s="271"/>
      <c r="Y434" s="271"/>
      <c r="Z434" s="237" t="str">
        <f>BIN2HEX(RIGHT((LEFT(Z432,8)),4))</f>
        <v>0</v>
      </c>
    </row>
    <row r="435" spans="2:26">
      <c r="B435" s="255" t="s">
        <v>189</v>
      </c>
      <c r="C435" s="256">
        <v>19</v>
      </c>
      <c r="D435" s="257">
        <v>5</v>
      </c>
      <c r="E435" s="257">
        <v>3</v>
      </c>
      <c r="F435" s="257">
        <v>5</v>
      </c>
      <c r="G435" s="257"/>
      <c r="H435" s="257"/>
      <c r="I435" s="274"/>
      <c r="J435" s="274"/>
      <c r="K435" s="274"/>
      <c r="L435" s="274"/>
      <c r="M435" s="274"/>
      <c r="N435" s="274"/>
      <c r="O435" s="274"/>
      <c r="P435" s="274"/>
      <c r="Q435" s="274"/>
      <c r="R435" s="274"/>
      <c r="S435" s="274"/>
      <c r="T435" s="274"/>
      <c r="U435" s="274"/>
      <c r="V435" s="274"/>
      <c r="W435" s="274"/>
      <c r="X435" s="274"/>
      <c r="Y435" s="274"/>
      <c r="Z435" s="237" t="str">
        <f>BIN2HEX(RIGHT((LEFT(Z432,12)),4))</f>
        <v>0</v>
      </c>
    </row>
    <row r="436" spans="2:26">
      <c r="B436" s="262" t="s">
        <v>16</v>
      </c>
      <c r="C436" s="263">
        <v>0</v>
      </c>
      <c r="D436" s="259" t="s">
        <v>653</v>
      </c>
      <c r="E436" s="259">
        <v>0</v>
      </c>
      <c r="F436" s="259" t="s">
        <v>653</v>
      </c>
      <c r="G436" s="259"/>
      <c r="H436" s="259"/>
      <c r="I436" s="261"/>
      <c r="J436" s="261"/>
      <c r="K436" s="261"/>
      <c r="L436" s="261"/>
      <c r="M436" s="261"/>
      <c r="N436" s="261"/>
      <c r="O436" s="261"/>
      <c r="P436" s="261"/>
      <c r="Q436" s="261"/>
      <c r="R436" s="261"/>
      <c r="S436" s="261"/>
      <c r="T436" s="261"/>
      <c r="U436" s="261"/>
      <c r="V436" s="261"/>
      <c r="W436" s="261"/>
      <c r="X436" s="261"/>
      <c r="Y436" s="261"/>
      <c r="Z436" s="237" t="str">
        <f>BIN2HEX(RIGHT((LEFT(Z432,16)),4))</f>
        <v>0</v>
      </c>
    </row>
    <row r="437" spans="2:26" ht="13.5" thickBot="1">
      <c r="B437" s="264" t="s">
        <v>17</v>
      </c>
      <c r="C437" s="277" t="s">
        <v>431</v>
      </c>
      <c r="D437" s="265" t="str">
        <f>HEX2BIN(D436,D435)</f>
        <v>11111</v>
      </c>
      <c r="E437" s="265" t="str">
        <f>HEX2BIN(E436,E435)</f>
        <v>000</v>
      </c>
      <c r="F437" s="265" t="str">
        <f>HEX2BIN(F436,F435)</f>
        <v>11111</v>
      </c>
      <c r="G437" s="265"/>
      <c r="H437" s="265"/>
      <c r="I437" s="261"/>
      <c r="J437" s="261"/>
      <c r="K437" s="261"/>
      <c r="L437" s="261"/>
      <c r="M437" s="261"/>
      <c r="N437" s="261"/>
      <c r="O437" s="261"/>
      <c r="P437" s="261"/>
      <c r="Q437" s="261"/>
      <c r="R437" s="261"/>
      <c r="S437" s="261"/>
      <c r="T437" s="261"/>
      <c r="U437" s="261"/>
      <c r="V437" s="261"/>
      <c r="W437" s="261"/>
      <c r="X437" s="261"/>
      <c r="Y437" s="261"/>
      <c r="Z437" s="237" t="str">
        <f>BIN2HEX(RIGHT((LEFT(Z432,20)),4))</f>
        <v>1</v>
      </c>
    </row>
    <row r="438" spans="2:26" ht="13.5" thickBot="1">
      <c r="B438" s="266" t="s">
        <v>18</v>
      </c>
      <c r="C438" s="267" t="str">
        <f>CONCATENATE("0x",Z433,Z434,Z435,Z436,Z437,Z438,Z439,Z440)</f>
        <v>0x00001F1F</v>
      </c>
      <c r="Z438" s="237" t="str">
        <f>BIN2HEX(RIGHT((LEFT(Z432,24)),4))</f>
        <v>F</v>
      </c>
    </row>
    <row r="439" spans="2:26">
      <c r="Z439" s="237" t="str">
        <f>BIN2HEX(RIGHT((LEFT(Z432,28)),4))</f>
        <v>1</v>
      </c>
    </row>
    <row r="440" spans="2:26">
      <c r="Z440" s="237" t="str">
        <f>BIN2HEX(RIGHT((LEFT(Z432,33)),4))</f>
        <v>F</v>
      </c>
    </row>
    <row r="442" spans="2:26">
      <c r="Z442" s="237" t="s">
        <v>676</v>
      </c>
    </row>
    <row r="443" spans="2:26" ht="13.5" thickBot="1">
      <c r="Z443" s="237" t="str">
        <f>CONCATENATE(C448,D448,E448,F448,G448,H448,I448,J448)</f>
        <v>00000111000001110000011100000111</v>
      </c>
    </row>
    <row r="444" spans="2:26" ht="13.5" thickBot="1">
      <c r="B444" s="245" t="s">
        <v>783</v>
      </c>
      <c r="C444" s="246"/>
      <c r="D444" s="246"/>
      <c r="E444" s="246"/>
      <c r="F444" s="246"/>
      <c r="G444" s="246"/>
      <c r="H444" s="246"/>
      <c r="I444" s="246"/>
      <c r="J444" s="246"/>
      <c r="K444" s="276"/>
      <c r="L444" s="276"/>
      <c r="M444" s="276"/>
      <c r="N444" s="276"/>
      <c r="O444" s="276"/>
      <c r="P444" s="276"/>
      <c r="Q444" s="276"/>
      <c r="R444" s="276"/>
      <c r="S444" s="276"/>
      <c r="T444" s="276"/>
      <c r="U444" s="276"/>
      <c r="V444" s="276"/>
      <c r="W444" s="276"/>
      <c r="X444" s="276"/>
      <c r="Y444" s="276"/>
      <c r="Z444" s="237" t="str">
        <f>BIN2HEX(RIGHT((LEFT(Z443,4)),4))</f>
        <v>0</v>
      </c>
    </row>
    <row r="445" spans="2:26" ht="13.5" thickTop="1">
      <c r="B445" s="249"/>
      <c r="C445" s="268" t="s">
        <v>89</v>
      </c>
      <c r="D445" s="251" t="s">
        <v>672</v>
      </c>
      <c r="E445" s="251" t="s">
        <v>660</v>
      </c>
      <c r="F445" s="251" t="s">
        <v>673</v>
      </c>
      <c r="G445" s="251" t="s">
        <v>359</v>
      </c>
      <c r="H445" s="251" t="s">
        <v>674</v>
      </c>
      <c r="I445" s="251" t="s">
        <v>663</v>
      </c>
      <c r="J445" s="251" t="s">
        <v>675</v>
      </c>
      <c r="K445" s="271"/>
      <c r="L445" s="271"/>
      <c r="M445" s="271"/>
      <c r="N445" s="271"/>
      <c r="O445" s="271"/>
      <c r="P445" s="271"/>
      <c r="Q445" s="271"/>
      <c r="R445" s="271"/>
      <c r="S445" s="271"/>
      <c r="T445" s="271"/>
      <c r="U445" s="271"/>
      <c r="V445" s="271"/>
      <c r="W445" s="271"/>
      <c r="X445" s="271"/>
      <c r="Y445" s="271"/>
      <c r="Z445" s="237" t="str">
        <f>BIN2HEX(RIGHT((LEFT(Z443,8)),4))</f>
        <v>7</v>
      </c>
    </row>
    <row r="446" spans="2:26">
      <c r="B446" s="255" t="s">
        <v>189</v>
      </c>
      <c r="C446" s="256">
        <v>4</v>
      </c>
      <c r="D446" s="257">
        <v>4</v>
      </c>
      <c r="E446" s="257">
        <v>4</v>
      </c>
      <c r="F446" s="257">
        <v>4</v>
      </c>
      <c r="G446" s="257">
        <v>4</v>
      </c>
      <c r="H446" s="257">
        <v>4</v>
      </c>
      <c r="I446" s="257">
        <v>4</v>
      </c>
      <c r="J446" s="257">
        <v>4</v>
      </c>
      <c r="K446" s="274"/>
      <c r="L446" s="274"/>
      <c r="M446" s="274"/>
      <c r="N446" s="274"/>
      <c r="O446" s="274"/>
      <c r="P446" s="274"/>
      <c r="Q446" s="274"/>
      <c r="R446" s="274"/>
      <c r="S446" s="274"/>
      <c r="T446" s="274"/>
      <c r="U446" s="274"/>
      <c r="V446" s="274"/>
      <c r="W446" s="274"/>
      <c r="X446" s="274"/>
      <c r="Y446" s="274"/>
      <c r="Z446" s="237" t="str">
        <f>BIN2HEX(RIGHT((LEFT(Z443,12)),4))</f>
        <v>0</v>
      </c>
    </row>
    <row r="447" spans="2:26">
      <c r="B447" s="262" t="s">
        <v>16</v>
      </c>
      <c r="C447" s="263">
        <v>0</v>
      </c>
      <c r="D447" s="259" t="str">
        <f>DEC2HEX(row_b11)</f>
        <v>7</v>
      </c>
      <c r="E447" s="259">
        <v>0</v>
      </c>
      <c r="F447" s="259" t="str">
        <f>DEC2HEX(IF(b2_10_same,row_b2,15))</f>
        <v>7</v>
      </c>
      <c r="G447" s="259">
        <v>0</v>
      </c>
      <c r="H447" s="259" t="str">
        <f>DEC2HEX(row_b1)</f>
        <v>7</v>
      </c>
      <c r="I447" s="259">
        <v>0</v>
      </c>
      <c r="J447" s="259" t="str">
        <f>DEC2HEX(row_b0)</f>
        <v>7</v>
      </c>
      <c r="K447" s="261"/>
      <c r="L447" s="261"/>
      <c r="M447" s="261"/>
      <c r="N447" s="261"/>
      <c r="O447" s="261"/>
      <c r="P447" s="261"/>
      <c r="Q447" s="261"/>
      <c r="R447" s="261"/>
      <c r="S447" s="261"/>
      <c r="T447" s="261"/>
      <c r="U447" s="261"/>
      <c r="V447" s="261"/>
      <c r="W447" s="261"/>
      <c r="X447" s="261"/>
      <c r="Y447" s="261"/>
      <c r="Z447" s="237" t="str">
        <f>BIN2HEX(RIGHT((LEFT(Z443,16)),4))</f>
        <v>7</v>
      </c>
    </row>
    <row r="448" spans="2:26" ht="13.5" thickBot="1">
      <c r="B448" s="264" t="s">
        <v>17</v>
      </c>
      <c r="C448" s="265" t="str">
        <f t="shared" ref="C448:H448" si="22">HEX2BIN(C447,C446)</f>
        <v>0000</v>
      </c>
      <c r="D448" s="265" t="str">
        <f t="shared" si="22"/>
        <v>0111</v>
      </c>
      <c r="E448" s="265" t="str">
        <f t="shared" si="22"/>
        <v>0000</v>
      </c>
      <c r="F448" s="265" t="str">
        <f t="shared" si="22"/>
        <v>0111</v>
      </c>
      <c r="G448" s="265" t="str">
        <f t="shared" si="22"/>
        <v>0000</v>
      </c>
      <c r="H448" s="265" t="str">
        <f t="shared" si="22"/>
        <v>0111</v>
      </c>
      <c r="I448" s="265" t="str">
        <f>HEX2BIN(I447,I446)</f>
        <v>0000</v>
      </c>
      <c r="J448" s="265" t="str">
        <f>HEX2BIN(J447,J446)</f>
        <v>0111</v>
      </c>
      <c r="K448" s="261"/>
      <c r="L448" s="261"/>
      <c r="M448" s="261"/>
      <c r="N448" s="261"/>
      <c r="O448" s="261"/>
      <c r="P448" s="261"/>
      <c r="Q448" s="261"/>
      <c r="R448" s="261"/>
      <c r="S448" s="261"/>
      <c r="T448" s="261"/>
      <c r="U448" s="261"/>
      <c r="V448" s="261"/>
      <c r="W448" s="261"/>
      <c r="X448" s="261"/>
      <c r="Y448" s="261"/>
      <c r="Z448" s="237" t="str">
        <f>BIN2HEX(RIGHT((LEFT(Z443,20)),4))</f>
        <v>0</v>
      </c>
    </row>
    <row r="449" spans="2:26" ht="13.5" thickBot="1">
      <c r="B449" s="266" t="s">
        <v>18</v>
      </c>
      <c r="C449" s="267" t="str">
        <f>CONCATENATE("0x",Z444,Z445,Z446,Z447,Z448,Z449,Z450,Z451)</f>
        <v>0x07070707</v>
      </c>
      <c r="Z449" s="237" t="str">
        <f>BIN2HEX(RIGHT((LEFT(Z443,24)),4))</f>
        <v>7</v>
      </c>
    </row>
    <row r="450" spans="2:26">
      <c r="Z450" s="237" t="str">
        <f>BIN2HEX(RIGHT((LEFT(Z443,28)),4))</f>
        <v>0</v>
      </c>
    </row>
    <row r="451" spans="2:26">
      <c r="Z451" s="237" t="str">
        <f>BIN2HEX(RIGHT((LEFT(Z443,33)),4))</f>
        <v>7</v>
      </c>
    </row>
    <row r="452" spans="2:26">
      <c r="Z452" s="237" t="s">
        <v>687</v>
      </c>
    </row>
    <row r="453" spans="2:26" ht="13.5" thickBot="1">
      <c r="Z453" s="237" t="str">
        <f>CONCATENATE(C458,D458,E458,F458,G458,H458,I458,J458,K458,L458)</f>
        <v>00001111000001110000011100000111</v>
      </c>
    </row>
    <row r="454" spans="2:26" ht="13.5" thickBot="1">
      <c r="B454" s="245" t="s">
        <v>784</v>
      </c>
      <c r="C454" s="246"/>
      <c r="D454" s="246"/>
      <c r="E454" s="246"/>
      <c r="F454" s="246"/>
      <c r="G454" s="246"/>
      <c r="H454" s="246"/>
      <c r="I454" s="246"/>
      <c r="J454" s="246"/>
      <c r="K454" s="246"/>
      <c r="L454" s="246"/>
      <c r="M454" s="276"/>
      <c r="N454" s="276"/>
      <c r="O454" s="276"/>
      <c r="P454" s="276"/>
      <c r="Q454" s="276"/>
      <c r="R454" s="276"/>
      <c r="S454" s="276"/>
      <c r="T454" s="276"/>
      <c r="U454" s="276"/>
      <c r="V454" s="276"/>
      <c r="W454" s="276"/>
      <c r="X454" s="276"/>
      <c r="Y454" s="276"/>
      <c r="Z454" s="237" t="str">
        <f>BIN2HEX(RIGHT((LEFT(Z453,4)),4))</f>
        <v>0</v>
      </c>
    </row>
    <row r="455" spans="2:26" ht="13.5" thickTop="1">
      <c r="B455" s="249"/>
      <c r="C455" s="268" t="s">
        <v>87</v>
      </c>
      <c r="D455" s="251" t="s">
        <v>681</v>
      </c>
      <c r="E455" s="251" t="s">
        <v>682</v>
      </c>
      <c r="F455" s="251" t="s">
        <v>683</v>
      </c>
      <c r="G455" s="251" t="s">
        <v>660</v>
      </c>
      <c r="H455" s="251" t="s">
        <v>684</v>
      </c>
      <c r="I455" s="251" t="s">
        <v>359</v>
      </c>
      <c r="J455" s="251" t="s">
        <v>685</v>
      </c>
      <c r="K455" s="251" t="s">
        <v>663</v>
      </c>
      <c r="L455" s="251" t="s">
        <v>686</v>
      </c>
      <c r="M455" s="271"/>
      <c r="N455" s="271"/>
      <c r="O455" s="271"/>
      <c r="P455" s="271"/>
      <c r="Q455" s="271"/>
      <c r="R455" s="271"/>
      <c r="S455" s="271"/>
      <c r="T455" s="271"/>
      <c r="U455" s="271"/>
      <c r="V455" s="271"/>
      <c r="W455" s="271"/>
      <c r="X455" s="271"/>
      <c r="Y455" s="271"/>
      <c r="Z455" s="237" t="str">
        <f>BIN2HEX(RIGHT((LEFT(Z453,8)),4))</f>
        <v>F</v>
      </c>
    </row>
    <row r="456" spans="2:26">
      <c r="B456" s="255" t="s">
        <v>189</v>
      </c>
      <c r="C456" s="256">
        <v>1</v>
      </c>
      <c r="D456" s="257">
        <v>2</v>
      </c>
      <c r="E456" s="257">
        <v>1</v>
      </c>
      <c r="F456" s="257">
        <v>4</v>
      </c>
      <c r="G456" s="257">
        <v>4</v>
      </c>
      <c r="H456" s="257">
        <v>4</v>
      </c>
      <c r="I456" s="257">
        <v>4</v>
      </c>
      <c r="J456" s="257">
        <v>4</v>
      </c>
      <c r="K456" s="257">
        <v>4</v>
      </c>
      <c r="L456" s="257">
        <v>4</v>
      </c>
      <c r="M456" s="274"/>
      <c r="N456" s="274"/>
      <c r="O456" s="274"/>
      <c r="P456" s="274"/>
      <c r="Q456" s="274"/>
      <c r="R456" s="274"/>
      <c r="S456" s="274"/>
      <c r="T456" s="274"/>
      <c r="U456" s="274"/>
      <c r="V456" s="274"/>
      <c r="W456" s="274"/>
      <c r="X456" s="274"/>
      <c r="Y456" s="274"/>
      <c r="Z456" s="237" t="str">
        <f>BIN2HEX(RIGHT((LEFT(Z453,12)),4))</f>
        <v>0</v>
      </c>
    </row>
    <row r="457" spans="2:26">
      <c r="B457" s="262" t="s">
        <v>16</v>
      </c>
      <c r="C457" s="263">
        <v>0</v>
      </c>
      <c r="D457" s="259">
        <v>0</v>
      </c>
      <c r="E457" s="259">
        <v>0</v>
      </c>
      <c r="F457" s="259" t="str">
        <f>DEC2HEX(row_b15)</f>
        <v>F</v>
      </c>
      <c r="G457" s="259">
        <v>0</v>
      </c>
      <c r="H457" s="259" t="str">
        <f>DEC2HEX(row_b14)</f>
        <v>7</v>
      </c>
      <c r="I457" s="259">
        <v>0</v>
      </c>
      <c r="J457" s="259" t="str">
        <f>DEC2HEX(row_b13)</f>
        <v>7</v>
      </c>
      <c r="K457" s="259">
        <v>0</v>
      </c>
      <c r="L457" s="259" t="str">
        <f>DEC2HEX(row_b12)</f>
        <v>7</v>
      </c>
      <c r="M457" s="261"/>
      <c r="N457" s="261"/>
      <c r="O457" s="261"/>
      <c r="P457" s="261"/>
      <c r="Q457" s="261"/>
      <c r="R457" s="261"/>
      <c r="S457" s="261"/>
      <c r="T457" s="261"/>
      <c r="U457" s="261"/>
      <c r="V457" s="261"/>
      <c r="W457" s="261"/>
      <c r="X457" s="261"/>
      <c r="Y457" s="261"/>
      <c r="Z457" s="237" t="str">
        <f>BIN2HEX(RIGHT((LEFT(Z453,16)),4))</f>
        <v>7</v>
      </c>
    </row>
    <row r="458" spans="2:26" ht="13.5" thickBot="1">
      <c r="B458" s="264" t="s">
        <v>17</v>
      </c>
      <c r="C458" s="265" t="str">
        <f t="shared" ref="C458:J458" si="23">HEX2BIN(C457,C456)</f>
        <v>0</v>
      </c>
      <c r="D458" s="265" t="str">
        <f t="shared" si="23"/>
        <v>00</v>
      </c>
      <c r="E458" s="265" t="str">
        <f t="shared" si="23"/>
        <v>0</v>
      </c>
      <c r="F458" s="265" t="str">
        <f t="shared" si="23"/>
        <v>1111</v>
      </c>
      <c r="G458" s="265" t="str">
        <f t="shared" si="23"/>
        <v>0000</v>
      </c>
      <c r="H458" s="265" t="str">
        <f t="shared" si="23"/>
        <v>0111</v>
      </c>
      <c r="I458" s="265" t="str">
        <f t="shared" si="23"/>
        <v>0000</v>
      </c>
      <c r="J458" s="265" t="str">
        <f t="shared" si="23"/>
        <v>0111</v>
      </c>
      <c r="K458" s="265" t="str">
        <f>HEX2BIN(K457,K456)</f>
        <v>0000</v>
      </c>
      <c r="L458" s="265" t="str">
        <f>HEX2BIN(L457,L456)</f>
        <v>0111</v>
      </c>
      <c r="M458" s="261"/>
      <c r="N458" s="261"/>
      <c r="O458" s="261"/>
      <c r="P458" s="261"/>
      <c r="Q458" s="261"/>
      <c r="R458" s="261"/>
      <c r="S458" s="261"/>
      <c r="T458" s="261"/>
      <c r="U458" s="261"/>
      <c r="V458" s="261"/>
      <c r="W458" s="261"/>
      <c r="X458" s="261"/>
      <c r="Y458" s="261"/>
      <c r="Z458" s="237" t="str">
        <f>BIN2HEX(RIGHT((LEFT(Z453,20)),4))</f>
        <v>0</v>
      </c>
    </row>
    <row r="459" spans="2:26" ht="13.5" thickBot="1">
      <c r="B459" s="266" t="s">
        <v>18</v>
      </c>
      <c r="C459" s="267" t="str">
        <f>CONCATENATE("0x",Z454,Z455,Z456,Z457,Z458,Z459,Z460,Z461)</f>
        <v>0x0F070707</v>
      </c>
      <c r="Z459" s="237" t="str">
        <f>BIN2HEX(RIGHT((LEFT(Z453,24)),4))</f>
        <v>7</v>
      </c>
    </row>
    <row r="460" spans="2:26">
      <c r="Z460" s="237" t="str">
        <f>BIN2HEX(RIGHT((LEFT(Z453,28)),4))</f>
        <v>0</v>
      </c>
    </row>
    <row r="461" spans="2:26">
      <c r="Z461" s="237" t="str">
        <f>BIN2HEX(RIGHT((LEFT(Z453,33)),4))</f>
        <v>7</v>
      </c>
    </row>
    <row r="462" spans="2:26">
      <c r="Z462" s="237" t="s">
        <v>690</v>
      </c>
    </row>
    <row r="463" spans="2:26" ht="13.5" thickBot="1">
      <c r="Z463" s="237" t="str">
        <f>CONCATENATE(C468,D468,E468,F468,G468,H468)</f>
        <v>00000000000000000000111100001111</v>
      </c>
    </row>
    <row r="464" spans="2:26" ht="13.5" thickBot="1">
      <c r="B464" s="245" t="s">
        <v>785</v>
      </c>
      <c r="C464" s="246"/>
      <c r="D464" s="246"/>
      <c r="E464" s="246"/>
      <c r="F464" s="246"/>
      <c r="G464" s="246"/>
      <c r="H464" s="246"/>
      <c r="I464" s="246"/>
      <c r="J464" s="246"/>
      <c r="K464" s="246"/>
      <c r="L464" s="246"/>
      <c r="M464" s="276"/>
      <c r="N464" s="276"/>
      <c r="O464" s="276"/>
      <c r="P464" s="276"/>
      <c r="Q464" s="276"/>
      <c r="R464" s="276"/>
      <c r="S464" s="276"/>
      <c r="T464" s="276"/>
      <c r="U464" s="276"/>
      <c r="V464" s="276"/>
      <c r="W464" s="276"/>
      <c r="X464" s="276"/>
      <c r="Y464" s="276"/>
      <c r="Z464" s="237" t="str">
        <f>BIN2HEX(RIGHT((LEFT(Z463,4)),4))</f>
        <v>0</v>
      </c>
    </row>
    <row r="465" spans="2:26" ht="13.5" thickTop="1">
      <c r="B465" s="249"/>
      <c r="C465" s="268" t="s">
        <v>382</v>
      </c>
      <c r="D465" s="251" t="s">
        <v>688</v>
      </c>
      <c r="E465" s="251" t="s">
        <v>663</v>
      </c>
      <c r="F465" s="251" t="s">
        <v>689</v>
      </c>
      <c r="G465" s="251"/>
      <c r="H465" s="251"/>
      <c r="I465" s="251"/>
      <c r="J465" s="251"/>
      <c r="K465" s="251"/>
      <c r="L465" s="251"/>
      <c r="M465" s="271"/>
      <c r="N465" s="271"/>
      <c r="O465" s="271"/>
      <c r="P465" s="271"/>
      <c r="Q465" s="271"/>
      <c r="R465" s="271"/>
      <c r="S465" s="271"/>
      <c r="T465" s="271"/>
      <c r="U465" s="271"/>
      <c r="V465" s="271"/>
      <c r="W465" s="271"/>
      <c r="X465" s="271"/>
      <c r="Y465" s="271"/>
      <c r="Z465" s="237" t="str">
        <f>BIN2HEX(RIGHT((LEFT(Z463,8)),4))</f>
        <v>0</v>
      </c>
    </row>
    <row r="466" spans="2:26">
      <c r="B466" s="255" t="s">
        <v>189</v>
      </c>
      <c r="C466" s="256">
        <v>20</v>
      </c>
      <c r="D466" s="257">
        <v>4</v>
      </c>
      <c r="E466" s="257">
        <v>4</v>
      </c>
      <c r="F466" s="257">
        <v>4</v>
      </c>
      <c r="G466" s="257"/>
      <c r="H466" s="257"/>
      <c r="I466" s="257"/>
      <c r="J466" s="257"/>
      <c r="K466" s="257"/>
      <c r="L466" s="257"/>
      <c r="M466" s="274"/>
      <c r="N466" s="274"/>
      <c r="O466" s="274"/>
      <c r="P466" s="274"/>
      <c r="Q466" s="274"/>
      <c r="R466" s="274"/>
      <c r="S466" s="274"/>
      <c r="T466" s="274"/>
      <c r="U466" s="274"/>
      <c r="V466" s="274"/>
      <c r="W466" s="274"/>
      <c r="X466" s="274"/>
      <c r="Y466" s="274"/>
      <c r="Z466" s="237" t="str">
        <f>BIN2HEX(RIGHT((LEFT(Z463,12)),4))</f>
        <v>0</v>
      </c>
    </row>
    <row r="467" spans="2:26">
      <c r="B467" s="262" t="s">
        <v>16</v>
      </c>
      <c r="C467" s="263">
        <v>0</v>
      </c>
      <c r="D467" s="259" t="str">
        <f>DEC2HEX(row_b17)</f>
        <v>F</v>
      </c>
      <c r="E467" s="259">
        <v>0</v>
      </c>
      <c r="F467" s="259" t="str">
        <f>DEC2HEX(row_b16)</f>
        <v>F</v>
      </c>
      <c r="G467" s="259"/>
      <c r="H467" s="259"/>
      <c r="I467" s="259"/>
      <c r="J467" s="259"/>
      <c r="K467" s="259"/>
      <c r="L467" s="259"/>
      <c r="M467" s="261"/>
      <c r="N467" s="261"/>
      <c r="O467" s="261"/>
      <c r="P467" s="261"/>
      <c r="Q467" s="261"/>
      <c r="R467" s="261"/>
      <c r="S467" s="261"/>
      <c r="T467" s="261"/>
      <c r="U467" s="261"/>
      <c r="V467" s="261"/>
      <c r="W467" s="261"/>
      <c r="X467" s="261"/>
      <c r="Y467" s="261"/>
      <c r="Z467" s="237" t="str">
        <f>BIN2HEX(RIGHT((LEFT(Z463,16)),4))</f>
        <v>0</v>
      </c>
    </row>
    <row r="468" spans="2:26" ht="13.5" thickBot="1">
      <c r="B468" s="264" t="s">
        <v>17</v>
      </c>
      <c r="C468" s="277" t="s">
        <v>383</v>
      </c>
      <c r="D468" s="265" t="str">
        <f>HEX2BIN(D467,D466)</f>
        <v>1111</v>
      </c>
      <c r="E468" s="265" t="str">
        <f>HEX2BIN(E467,E466)</f>
        <v>0000</v>
      </c>
      <c r="F468" s="265" t="str">
        <f>HEX2BIN(F467,F466)</f>
        <v>1111</v>
      </c>
      <c r="G468" s="265"/>
      <c r="H468" s="265"/>
      <c r="I468" s="265"/>
      <c r="J468" s="265"/>
      <c r="K468" s="265"/>
      <c r="L468" s="265"/>
      <c r="M468" s="261"/>
      <c r="N468" s="261"/>
      <c r="O468" s="261"/>
      <c r="P468" s="261"/>
      <c r="Q468" s="261"/>
      <c r="R468" s="261"/>
      <c r="S468" s="261"/>
      <c r="T468" s="261"/>
      <c r="U468" s="261"/>
      <c r="V468" s="261"/>
      <c r="W468" s="261"/>
      <c r="X468" s="261"/>
      <c r="Y468" s="261"/>
      <c r="Z468" s="237" t="str">
        <f>BIN2HEX(RIGHT((LEFT(Z463,20)),4))</f>
        <v>0</v>
      </c>
    </row>
    <row r="469" spans="2:26" ht="13.5" thickBot="1">
      <c r="B469" s="266" t="s">
        <v>18</v>
      </c>
      <c r="C469" s="267" t="str">
        <f>CONCATENATE("0x",Z464,Z465,Z466,Z467,Z468,Z469,Z470,Z471)</f>
        <v>0x00000F0F</v>
      </c>
      <c r="Z469" s="237" t="str">
        <f>BIN2HEX(RIGHT((LEFT(Z463,24)),4))</f>
        <v>F</v>
      </c>
    </row>
    <row r="470" spans="2:26">
      <c r="Z470" s="237" t="str">
        <f>BIN2HEX(RIGHT((LEFT(Z463,28)),4))</f>
        <v>0</v>
      </c>
    </row>
    <row r="471" spans="2:26">
      <c r="Z471" s="237" t="str">
        <f>BIN2HEX(RIGHT((LEFT(Z463,33)),4))</f>
        <v>F</v>
      </c>
    </row>
    <row r="472" spans="2:26">
      <c r="Z472" s="237" t="s">
        <v>694</v>
      </c>
    </row>
    <row r="473" spans="2:26" ht="13.5" thickBot="1">
      <c r="Z473" s="237" t="str">
        <f>CONCATENATE(C478,D478,E478,F478,G478,H478)</f>
        <v>00000000000000000011111100001010</v>
      </c>
    </row>
    <row r="474" spans="2:26" ht="13.5" thickBot="1">
      <c r="B474" s="245" t="s">
        <v>786</v>
      </c>
      <c r="C474" s="246"/>
      <c r="D474" s="246"/>
      <c r="E474" s="246"/>
      <c r="F474" s="246"/>
      <c r="G474" s="246"/>
      <c r="H474" s="246"/>
      <c r="I474" s="246"/>
      <c r="J474" s="246"/>
      <c r="K474" s="246"/>
      <c r="L474" s="246"/>
      <c r="M474" s="276"/>
      <c r="N474" s="276"/>
      <c r="O474" s="276"/>
      <c r="P474" s="276"/>
      <c r="Q474" s="276"/>
      <c r="R474" s="276"/>
      <c r="S474" s="276"/>
      <c r="T474" s="276"/>
      <c r="U474" s="276"/>
      <c r="V474" s="276"/>
      <c r="W474" s="276"/>
      <c r="X474" s="276"/>
      <c r="Y474" s="276"/>
      <c r="Z474" s="237" t="str">
        <f>BIN2HEX(RIGHT((LEFT(Z473,4)),4))</f>
        <v>0</v>
      </c>
    </row>
    <row r="475" spans="2:26" ht="13.5" thickTop="1">
      <c r="B475" s="249"/>
      <c r="C475" s="268" t="s">
        <v>691</v>
      </c>
      <c r="D475" s="251" t="s">
        <v>692</v>
      </c>
      <c r="E475" s="251" t="s">
        <v>602</v>
      </c>
      <c r="F475" s="251" t="s">
        <v>693</v>
      </c>
      <c r="G475" s="251"/>
      <c r="H475" s="251"/>
      <c r="I475" s="251"/>
      <c r="J475" s="251"/>
      <c r="K475" s="251"/>
      <c r="L475" s="251"/>
      <c r="M475" s="271"/>
      <c r="N475" s="271"/>
      <c r="O475" s="271"/>
      <c r="P475" s="271"/>
      <c r="Q475" s="271"/>
      <c r="R475" s="271"/>
      <c r="S475" s="271"/>
      <c r="T475" s="271"/>
      <c r="U475" s="271"/>
      <c r="V475" s="271"/>
      <c r="W475" s="271"/>
      <c r="X475" s="271"/>
      <c r="Y475" s="271"/>
      <c r="Z475" s="237" t="str">
        <f>BIN2HEX(RIGHT((LEFT(Z473,8)),4))</f>
        <v>0</v>
      </c>
    </row>
    <row r="476" spans="2:26">
      <c r="B476" s="255" t="s">
        <v>189</v>
      </c>
      <c r="C476" s="256">
        <v>18</v>
      </c>
      <c r="D476" s="257">
        <v>6</v>
      </c>
      <c r="E476" s="257">
        <v>2</v>
      </c>
      <c r="F476" s="257">
        <v>6</v>
      </c>
      <c r="G476" s="257"/>
      <c r="H476" s="257"/>
      <c r="I476" s="257"/>
      <c r="J476" s="257"/>
      <c r="K476" s="257"/>
      <c r="L476" s="257"/>
      <c r="M476" s="274"/>
      <c r="N476" s="274"/>
      <c r="O476" s="274"/>
      <c r="P476" s="274"/>
      <c r="Q476" s="274"/>
      <c r="R476" s="274"/>
      <c r="S476" s="274"/>
      <c r="T476" s="274"/>
      <c r="U476" s="274"/>
      <c r="V476" s="274"/>
      <c r="W476" s="274"/>
      <c r="X476" s="274"/>
      <c r="Y476" s="274"/>
      <c r="Z476" s="237" t="str">
        <f>BIN2HEX(RIGHT((LEFT(Z473,12)),4))</f>
        <v>0</v>
      </c>
    </row>
    <row r="477" spans="2:26">
      <c r="B477" s="262" t="s">
        <v>16</v>
      </c>
      <c r="C477" s="263">
        <v>0</v>
      </c>
      <c r="D477" s="259" t="str">
        <f>DEC2HEX(bg_b1)</f>
        <v>3F</v>
      </c>
      <c r="E477" s="259">
        <v>0</v>
      </c>
      <c r="F477" s="259" t="str">
        <f>DEC2HEX(bg_b0)</f>
        <v>A</v>
      </c>
      <c r="G477" s="259"/>
      <c r="H477" s="259"/>
      <c r="I477" s="259"/>
      <c r="J477" s="259"/>
      <c r="K477" s="259"/>
      <c r="L477" s="259"/>
      <c r="M477" s="261"/>
      <c r="N477" s="261"/>
      <c r="O477" s="261"/>
      <c r="P477" s="261"/>
      <c r="Q477" s="261"/>
      <c r="R477" s="261"/>
      <c r="S477" s="261"/>
      <c r="T477" s="261"/>
      <c r="U477" s="261"/>
      <c r="V477" s="261"/>
      <c r="W477" s="261"/>
      <c r="X477" s="261"/>
      <c r="Y477" s="261"/>
      <c r="Z477" s="237" t="str">
        <f>BIN2HEX(RIGHT((LEFT(Z473,16)),4))</f>
        <v>0</v>
      </c>
    </row>
    <row r="478" spans="2:26" ht="13.5" thickBot="1">
      <c r="B478" s="264" t="s">
        <v>17</v>
      </c>
      <c r="C478" s="277" t="s">
        <v>709</v>
      </c>
      <c r="D478" s="265" t="str">
        <f>HEX2BIN(D477,D476)</f>
        <v>111111</v>
      </c>
      <c r="E478" s="265" t="str">
        <f>HEX2BIN(E477,E476)</f>
        <v>00</v>
      </c>
      <c r="F478" s="265" t="str">
        <f>HEX2BIN(F477,F476)</f>
        <v>001010</v>
      </c>
      <c r="G478" s="265"/>
      <c r="H478" s="265"/>
      <c r="I478" s="265"/>
      <c r="J478" s="265"/>
      <c r="K478" s="265"/>
      <c r="L478" s="265"/>
      <c r="M478" s="261"/>
      <c r="N478" s="261"/>
      <c r="O478" s="261"/>
      <c r="P478" s="261"/>
      <c r="Q478" s="261"/>
      <c r="R478" s="261"/>
      <c r="S478" s="261"/>
      <c r="T478" s="261"/>
      <c r="U478" s="261"/>
      <c r="V478" s="261"/>
      <c r="W478" s="261"/>
      <c r="X478" s="261"/>
      <c r="Y478" s="261"/>
      <c r="Z478" s="237" t="str">
        <f>BIN2HEX(RIGHT((LEFT(Z473,20)),4))</f>
        <v>3</v>
      </c>
    </row>
    <row r="479" spans="2:26" ht="13.5" thickBot="1">
      <c r="B479" s="266" t="s">
        <v>18</v>
      </c>
      <c r="C479" s="267" t="str">
        <f>CONCATENATE("0x",Z474,Z475,Z476,Z477,Z478,Z479,Z480,Z481)</f>
        <v>0x00003F0A</v>
      </c>
      <c r="Z479" s="237" t="str">
        <f>BIN2HEX(RIGHT((LEFT(Z473,24)),4))</f>
        <v>F</v>
      </c>
    </row>
    <row r="480" spans="2:26">
      <c r="Z480" s="237" t="str">
        <f>BIN2HEX(RIGHT((LEFT(Z473,28)),4))</f>
        <v>0</v>
      </c>
    </row>
    <row r="481" spans="2:26">
      <c r="Z481" s="237" t="str">
        <f>BIN2HEX(RIGHT((LEFT(Z473,33)),4))</f>
        <v>A</v>
      </c>
    </row>
    <row r="482" spans="2:26">
      <c r="Z482" s="237" t="s">
        <v>698</v>
      </c>
    </row>
    <row r="483" spans="2:26" ht="13.5" thickBot="1">
      <c r="Z483" s="237" t="str">
        <f>CONCATENATE(C488,D488,E488,F488,G488,H488,I488,J488)</f>
        <v>00000000000000000000000000000000</v>
      </c>
    </row>
    <row r="484" spans="2:26" ht="13.5" thickBot="1">
      <c r="B484" s="245" t="s">
        <v>787</v>
      </c>
      <c r="C484" s="246"/>
      <c r="D484" s="246"/>
      <c r="E484" s="246"/>
      <c r="F484" s="246"/>
      <c r="G484" s="246"/>
      <c r="H484" s="246"/>
      <c r="I484" s="246"/>
      <c r="J484" s="246"/>
      <c r="K484" s="246"/>
      <c r="L484" s="246"/>
      <c r="M484" s="276"/>
      <c r="N484" s="276"/>
      <c r="O484" s="276"/>
      <c r="P484" s="276"/>
      <c r="Q484" s="276"/>
      <c r="R484" s="276"/>
      <c r="S484" s="276"/>
      <c r="T484" s="276"/>
      <c r="U484" s="276"/>
      <c r="V484" s="276"/>
      <c r="W484" s="276"/>
      <c r="X484" s="276"/>
      <c r="Y484" s="276"/>
      <c r="Z484" s="237" t="str">
        <f>BIN2HEX(RIGHT((LEFT(Z483,4)),4))</f>
        <v>0</v>
      </c>
    </row>
    <row r="485" spans="2:26" ht="13.5" thickTop="1">
      <c r="B485" s="249"/>
      <c r="C485" s="268" t="s">
        <v>89</v>
      </c>
      <c r="D485" s="251" t="s">
        <v>695</v>
      </c>
      <c r="E485" s="251" t="s">
        <v>660</v>
      </c>
      <c r="F485" s="251" t="s">
        <v>696</v>
      </c>
      <c r="G485" s="251" t="s">
        <v>359</v>
      </c>
      <c r="H485" s="251" t="s">
        <v>697</v>
      </c>
      <c r="I485" s="251" t="s">
        <v>663</v>
      </c>
      <c r="J485" s="251" t="s">
        <v>708</v>
      </c>
      <c r="K485" s="251"/>
      <c r="L485" s="251"/>
      <c r="M485" s="271"/>
      <c r="N485" s="271"/>
      <c r="O485" s="271"/>
      <c r="P485" s="271"/>
      <c r="Q485" s="271"/>
      <c r="R485" s="271"/>
      <c r="S485" s="271"/>
      <c r="T485" s="271"/>
      <c r="U485" s="271"/>
      <c r="V485" s="271"/>
      <c r="W485" s="271"/>
      <c r="X485" s="271"/>
      <c r="Y485" s="271"/>
      <c r="Z485" s="237" t="str">
        <f>BIN2HEX(RIGHT((LEFT(Z483,8)),4))</f>
        <v>0</v>
      </c>
    </row>
    <row r="486" spans="2:26">
      <c r="B486" s="255" t="s">
        <v>189</v>
      </c>
      <c r="C486" s="256">
        <v>4</v>
      </c>
      <c r="D486" s="257">
        <v>4</v>
      </c>
      <c r="E486" s="257">
        <v>4</v>
      </c>
      <c r="F486" s="257">
        <v>4</v>
      </c>
      <c r="G486" s="257">
        <v>4</v>
      </c>
      <c r="H486" s="257">
        <v>4</v>
      </c>
      <c r="I486" s="257">
        <v>4</v>
      </c>
      <c r="J486" s="257">
        <v>4</v>
      </c>
      <c r="K486" s="257"/>
      <c r="L486" s="257"/>
      <c r="M486" s="274"/>
      <c r="N486" s="274"/>
      <c r="O486" s="274"/>
      <c r="P486" s="274"/>
      <c r="Q486" s="274"/>
      <c r="R486" s="274"/>
      <c r="S486" s="274"/>
      <c r="T486" s="274"/>
      <c r="U486" s="274"/>
      <c r="V486" s="274"/>
      <c r="W486" s="274"/>
      <c r="X486" s="274"/>
      <c r="Y486" s="274"/>
      <c r="Z486" s="237" t="str">
        <f>BIN2HEX(RIGHT((LEFT(Z483,12)),4))</f>
        <v>0</v>
      </c>
    </row>
    <row r="487" spans="2:26">
      <c r="B487" s="262" t="s">
        <v>16</v>
      </c>
      <c r="C487" s="263">
        <v>0</v>
      </c>
      <c r="D487" s="259" t="str">
        <f>DEC2HEX(IF(b2_10_same,0,row_b5))</f>
        <v>0</v>
      </c>
      <c r="E487" s="259">
        <v>0</v>
      </c>
      <c r="F487" s="259" t="str">
        <f>DEC2HEX(IF(b2_10_same,0,row_b4))</f>
        <v>0</v>
      </c>
      <c r="G487" s="259">
        <v>0</v>
      </c>
      <c r="H487" s="259" t="str">
        <f>DEC2HEX(IF(b2_10_same,0,row_b3))</f>
        <v>0</v>
      </c>
      <c r="I487" s="259">
        <v>0</v>
      </c>
      <c r="J487" s="259" t="str">
        <f>DEC2HEX(IF(b2_10_same,0,row_b2))</f>
        <v>0</v>
      </c>
      <c r="K487" s="259"/>
      <c r="L487" s="259"/>
      <c r="M487" s="261"/>
      <c r="N487" s="261"/>
      <c r="O487" s="261"/>
      <c r="P487" s="261"/>
      <c r="Q487" s="261"/>
      <c r="R487" s="261"/>
      <c r="S487" s="261"/>
      <c r="T487" s="261"/>
      <c r="U487" s="261"/>
      <c r="V487" s="261"/>
      <c r="W487" s="261"/>
      <c r="X487" s="261"/>
      <c r="Y487" s="261"/>
      <c r="Z487" s="237" t="str">
        <f>BIN2HEX(RIGHT((LEFT(Z483,16)),4))</f>
        <v>0</v>
      </c>
    </row>
    <row r="488" spans="2:26" ht="13.5" thickBot="1">
      <c r="B488" s="264" t="s">
        <v>17</v>
      </c>
      <c r="C488" s="265" t="str">
        <f t="shared" ref="C488:J488" si="24">HEX2BIN(C487,C486)</f>
        <v>0000</v>
      </c>
      <c r="D488" s="265" t="str">
        <f t="shared" si="24"/>
        <v>0000</v>
      </c>
      <c r="E488" s="265" t="str">
        <f t="shared" si="24"/>
        <v>0000</v>
      </c>
      <c r="F488" s="265" t="str">
        <f t="shared" si="24"/>
        <v>0000</v>
      </c>
      <c r="G488" s="265" t="str">
        <f t="shared" si="24"/>
        <v>0000</v>
      </c>
      <c r="H488" s="265" t="str">
        <f t="shared" si="24"/>
        <v>0000</v>
      </c>
      <c r="I488" s="265" t="str">
        <f t="shared" si="24"/>
        <v>0000</v>
      </c>
      <c r="J488" s="265" t="str">
        <f t="shared" si="24"/>
        <v>0000</v>
      </c>
      <c r="K488" s="265"/>
      <c r="L488" s="265"/>
      <c r="M488" s="261"/>
      <c r="N488" s="261"/>
      <c r="O488" s="261"/>
      <c r="P488" s="261"/>
      <c r="Q488" s="261"/>
      <c r="R488" s="261"/>
      <c r="S488" s="261"/>
      <c r="T488" s="261"/>
      <c r="U488" s="261"/>
      <c r="V488" s="261"/>
      <c r="W488" s="261"/>
      <c r="X488" s="261"/>
      <c r="Y488" s="261"/>
      <c r="Z488" s="237" t="str">
        <f>BIN2HEX(RIGHT((LEFT(Z483,20)),4))</f>
        <v>0</v>
      </c>
    </row>
    <row r="489" spans="2:26" ht="13.5" thickBot="1">
      <c r="B489" s="266" t="s">
        <v>18</v>
      </c>
      <c r="C489" s="267" t="str">
        <f>CONCATENATE("0x",Z484,Z485,Z486,Z487,Z488,Z489,Z490,Z491)</f>
        <v>0x00000000</v>
      </c>
      <c r="Z489" s="237" t="str">
        <f>BIN2HEX(RIGHT((LEFT(Z483,24)),4))</f>
        <v>0</v>
      </c>
    </row>
    <row r="490" spans="2:26">
      <c r="Z490" s="237" t="str">
        <f>BIN2HEX(RIGHT((LEFT(Z483,28)),4))</f>
        <v>0</v>
      </c>
    </row>
    <row r="491" spans="2:26">
      <c r="Z491" s="237" t="str">
        <f>BIN2HEX(RIGHT((LEFT(Z483,33)),4))</f>
        <v>0</v>
      </c>
    </row>
    <row r="493" spans="2:26">
      <c r="Z493" s="237" t="s">
        <v>703</v>
      </c>
    </row>
    <row r="494" spans="2:26" ht="13.5" thickBot="1">
      <c r="Z494" s="237" t="str">
        <f>CONCATENATE(C499,D499,E499,F499,G499,H499,I499,J499)</f>
        <v>00000000000000000000000000000000</v>
      </c>
    </row>
    <row r="495" spans="2:26" ht="13.5" thickBot="1">
      <c r="B495" s="245" t="s">
        <v>788</v>
      </c>
      <c r="C495" s="246"/>
      <c r="D495" s="246"/>
      <c r="E495" s="246"/>
      <c r="F495" s="246"/>
      <c r="G495" s="246"/>
      <c r="H495" s="246"/>
      <c r="I495" s="246"/>
      <c r="J495" s="246"/>
      <c r="K495" s="246"/>
      <c r="L495" s="246"/>
      <c r="M495" s="276"/>
      <c r="N495" s="276"/>
      <c r="O495" s="276"/>
      <c r="P495" s="276"/>
      <c r="Q495" s="276"/>
      <c r="R495" s="276"/>
      <c r="S495" s="276"/>
      <c r="T495" s="276"/>
      <c r="U495" s="276"/>
      <c r="V495" s="276"/>
      <c r="W495" s="276"/>
      <c r="X495" s="276"/>
      <c r="Y495" s="276"/>
      <c r="Z495" s="237" t="str">
        <f>BIN2HEX(RIGHT((LEFT(Z494,4)),4))</f>
        <v>0</v>
      </c>
    </row>
    <row r="496" spans="2:26" ht="13.5" thickTop="1">
      <c r="B496" s="249"/>
      <c r="C496" s="268" t="s">
        <v>89</v>
      </c>
      <c r="D496" s="251" t="s">
        <v>699</v>
      </c>
      <c r="E496" s="251" t="s">
        <v>660</v>
      </c>
      <c r="F496" s="251" t="s">
        <v>700</v>
      </c>
      <c r="G496" s="251" t="s">
        <v>359</v>
      </c>
      <c r="H496" s="251" t="s">
        <v>701</v>
      </c>
      <c r="I496" s="251" t="s">
        <v>663</v>
      </c>
      <c r="J496" s="251" t="s">
        <v>702</v>
      </c>
      <c r="K496" s="251"/>
      <c r="L496" s="251"/>
      <c r="M496" s="271"/>
      <c r="N496" s="271"/>
      <c r="O496" s="271"/>
      <c r="P496" s="271"/>
      <c r="Q496" s="271"/>
      <c r="R496" s="271"/>
      <c r="S496" s="271"/>
      <c r="T496" s="271"/>
      <c r="U496" s="271"/>
      <c r="V496" s="271"/>
      <c r="W496" s="271"/>
      <c r="X496" s="271"/>
      <c r="Y496" s="271"/>
      <c r="Z496" s="237" t="str">
        <f>BIN2HEX(RIGHT((LEFT(Z494,8)),4))</f>
        <v>0</v>
      </c>
    </row>
    <row r="497" spans="2:26">
      <c r="B497" s="255" t="s">
        <v>189</v>
      </c>
      <c r="C497" s="256">
        <v>4</v>
      </c>
      <c r="D497" s="257">
        <v>4</v>
      </c>
      <c r="E497" s="257">
        <v>4</v>
      </c>
      <c r="F497" s="257">
        <v>4</v>
      </c>
      <c r="G497" s="257">
        <v>4</v>
      </c>
      <c r="H497" s="257">
        <v>4</v>
      </c>
      <c r="I497" s="257">
        <v>4</v>
      </c>
      <c r="J497" s="257">
        <v>4</v>
      </c>
      <c r="K497" s="257"/>
      <c r="L497" s="257"/>
      <c r="M497" s="274"/>
      <c r="N497" s="274"/>
      <c r="O497" s="274"/>
      <c r="P497" s="274"/>
      <c r="Q497" s="274"/>
      <c r="R497" s="274"/>
      <c r="S497" s="274"/>
      <c r="T497" s="274"/>
      <c r="U497" s="274"/>
      <c r="V497" s="274"/>
      <c r="W497" s="274"/>
      <c r="X497" s="274"/>
      <c r="Y497" s="274"/>
      <c r="Z497" s="237" t="str">
        <f>BIN2HEX(RIGHT((LEFT(Z494,12)),4))</f>
        <v>0</v>
      </c>
    </row>
    <row r="498" spans="2:26">
      <c r="B498" s="262" t="s">
        <v>16</v>
      </c>
      <c r="C498" s="263">
        <v>0</v>
      </c>
      <c r="D498" s="259" t="str">
        <f>DEC2HEX(IF(b2_10_same,0,row_b9))</f>
        <v>0</v>
      </c>
      <c r="E498" s="259">
        <v>0</v>
      </c>
      <c r="F498" s="259" t="str">
        <f>DEC2HEX(IF(b2_10_same,0,row_b8))</f>
        <v>0</v>
      </c>
      <c r="G498" s="259">
        <v>0</v>
      </c>
      <c r="H498" s="259" t="str">
        <f>DEC2HEX(IF(b2_10_same,0,row_b7))</f>
        <v>0</v>
      </c>
      <c r="I498" s="259">
        <v>0</v>
      </c>
      <c r="J498" s="259" t="str">
        <f>DEC2HEX(IF(b2_10_same,0,row_b6))</f>
        <v>0</v>
      </c>
      <c r="K498" s="259"/>
      <c r="L498" s="259"/>
      <c r="M498" s="261"/>
      <c r="N498" s="261"/>
      <c r="O498" s="261"/>
      <c r="P498" s="261"/>
      <c r="Q498" s="261"/>
      <c r="R498" s="261"/>
      <c r="S498" s="261"/>
      <c r="T498" s="261"/>
      <c r="U498" s="261"/>
      <c r="V498" s="261"/>
      <c r="W498" s="261"/>
      <c r="X498" s="261"/>
      <c r="Y498" s="261"/>
      <c r="Z498" s="237" t="str">
        <f>BIN2HEX(RIGHT((LEFT(Z494,16)),4))</f>
        <v>0</v>
      </c>
    </row>
    <row r="499" spans="2:26" ht="13.5" thickBot="1">
      <c r="B499" s="264" t="s">
        <v>17</v>
      </c>
      <c r="C499" s="265" t="str">
        <f t="shared" ref="C499:J499" si="25">HEX2BIN(C498,C497)</f>
        <v>0000</v>
      </c>
      <c r="D499" s="265" t="str">
        <f t="shared" si="25"/>
        <v>0000</v>
      </c>
      <c r="E499" s="265" t="str">
        <f t="shared" si="25"/>
        <v>0000</v>
      </c>
      <c r="F499" s="265" t="str">
        <f t="shared" si="25"/>
        <v>0000</v>
      </c>
      <c r="G499" s="265" t="str">
        <f t="shared" si="25"/>
        <v>0000</v>
      </c>
      <c r="H499" s="265" t="str">
        <f t="shared" si="25"/>
        <v>0000</v>
      </c>
      <c r="I499" s="265" t="str">
        <f t="shared" si="25"/>
        <v>0000</v>
      </c>
      <c r="J499" s="265" t="str">
        <f t="shared" si="25"/>
        <v>0000</v>
      </c>
      <c r="K499" s="265"/>
      <c r="L499" s="265"/>
      <c r="M499" s="261"/>
      <c r="N499" s="261"/>
      <c r="O499" s="261"/>
      <c r="P499" s="261"/>
      <c r="Q499" s="261"/>
      <c r="R499" s="261"/>
      <c r="S499" s="261"/>
      <c r="T499" s="261"/>
      <c r="U499" s="261"/>
      <c r="V499" s="261"/>
      <c r="W499" s="261"/>
      <c r="X499" s="261"/>
      <c r="Y499" s="261"/>
      <c r="Z499" s="237" t="str">
        <f>BIN2HEX(RIGHT((LEFT(Z494,20)),4))</f>
        <v>0</v>
      </c>
    </row>
    <row r="500" spans="2:26" ht="13.5" thickBot="1">
      <c r="B500" s="266" t="s">
        <v>18</v>
      </c>
      <c r="C500" s="267" t="str">
        <f>CONCATENATE("0x",Z495,Z496,Z497,Z498,Z499,Z500,Z501,Z502)</f>
        <v>0x00000000</v>
      </c>
      <c r="Z500" s="237" t="str">
        <f>BIN2HEX(RIGHT((LEFT(Z494,24)),4))</f>
        <v>0</v>
      </c>
    </row>
    <row r="501" spans="2:26">
      <c r="Z501" s="237" t="str">
        <f>BIN2HEX(RIGHT((LEFT(Z494,28)),4))</f>
        <v>0</v>
      </c>
    </row>
    <row r="502" spans="2:26">
      <c r="Z502" s="237" t="str">
        <f>BIN2HEX(RIGHT((LEFT(Z494,33)),4))</f>
        <v>0</v>
      </c>
    </row>
    <row r="503" spans="2:26">
      <c r="Z503" s="237" t="s">
        <v>707</v>
      </c>
    </row>
    <row r="504" spans="2:26" ht="13.5" thickBot="1">
      <c r="Z504" s="237" t="str">
        <f>CONCATENATE(C509,D509,E509,F509,G509,H509)</f>
        <v>00000000000111110001111100000000</v>
      </c>
    </row>
    <row r="505" spans="2:26" ht="13.5" thickBot="1">
      <c r="B505" s="245" t="s">
        <v>789</v>
      </c>
      <c r="C505" s="246"/>
      <c r="D505" s="246"/>
      <c r="E505" s="246"/>
      <c r="F505" s="246"/>
      <c r="G505" s="246"/>
      <c r="H505" s="246"/>
      <c r="I505" s="246"/>
      <c r="J505" s="246"/>
      <c r="K505" s="246"/>
      <c r="L505" s="246"/>
      <c r="M505" s="276"/>
      <c r="N505" s="276"/>
      <c r="O505" s="276"/>
      <c r="P505" s="276"/>
      <c r="Q505" s="276"/>
      <c r="R505" s="276"/>
      <c r="S505" s="276"/>
      <c r="T505" s="276"/>
      <c r="U505" s="276"/>
      <c r="V505" s="276"/>
      <c r="W505" s="276"/>
      <c r="X505" s="276"/>
      <c r="Y505" s="276"/>
      <c r="Z505" s="237" t="str">
        <f>BIN2HEX(RIGHT((LEFT(Z504,4)),4))</f>
        <v>0</v>
      </c>
    </row>
    <row r="506" spans="2:26" ht="13.5" thickTop="1">
      <c r="B506" s="249"/>
      <c r="C506" s="268" t="s">
        <v>345</v>
      </c>
      <c r="D506" s="251" t="s">
        <v>704</v>
      </c>
      <c r="E506" s="251" t="s">
        <v>600</v>
      </c>
      <c r="F506" s="251" t="s">
        <v>705</v>
      </c>
      <c r="G506" s="251" t="s">
        <v>663</v>
      </c>
      <c r="H506" s="251" t="s">
        <v>706</v>
      </c>
      <c r="I506" s="251"/>
      <c r="J506" s="251"/>
      <c r="K506" s="251"/>
      <c r="L506" s="251"/>
      <c r="M506" s="271"/>
      <c r="N506" s="271"/>
      <c r="O506" s="271"/>
      <c r="P506" s="271"/>
      <c r="Q506" s="271"/>
      <c r="R506" s="271"/>
      <c r="S506" s="271"/>
      <c r="T506" s="271"/>
      <c r="U506" s="271"/>
      <c r="V506" s="271"/>
      <c r="W506" s="271"/>
      <c r="X506" s="271"/>
      <c r="Y506" s="271"/>
      <c r="Z506" s="237" t="str">
        <f>BIN2HEX(RIGHT((LEFT(Z504,8)),4))</f>
        <v>0</v>
      </c>
    </row>
    <row r="507" spans="2:26">
      <c r="B507" s="255" t="s">
        <v>189</v>
      </c>
      <c r="C507" s="256">
        <v>11</v>
      </c>
      <c r="D507" s="257">
        <v>5</v>
      </c>
      <c r="E507" s="257">
        <v>3</v>
      </c>
      <c r="F507" s="257">
        <v>5</v>
      </c>
      <c r="G507" s="257">
        <v>4</v>
      </c>
      <c r="H507" s="257">
        <v>4</v>
      </c>
      <c r="I507" s="257"/>
      <c r="J507" s="257"/>
      <c r="K507" s="257"/>
      <c r="L507" s="257"/>
      <c r="M507" s="274"/>
      <c r="N507" s="274"/>
      <c r="O507" s="274"/>
      <c r="P507" s="274"/>
      <c r="Q507" s="274"/>
      <c r="R507" s="274"/>
      <c r="S507" s="274"/>
      <c r="T507" s="274"/>
      <c r="U507" s="274"/>
      <c r="V507" s="274"/>
      <c r="W507" s="274"/>
      <c r="X507" s="274"/>
      <c r="Y507" s="274"/>
      <c r="Z507" s="237" t="str">
        <f>BIN2HEX(RIGHT((LEFT(Z504,12)),4))</f>
        <v>1</v>
      </c>
    </row>
    <row r="508" spans="2:26">
      <c r="B508" s="262" t="s">
        <v>16</v>
      </c>
      <c r="C508" s="263">
        <v>0</v>
      </c>
      <c r="D508" s="259" t="s">
        <v>653</v>
      </c>
      <c r="E508" s="259">
        <v>0</v>
      </c>
      <c r="F508" s="259" t="s">
        <v>653</v>
      </c>
      <c r="G508" s="259">
        <v>0</v>
      </c>
      <c r="H508" s="259" t="str">
        <f>DEC2HEX(IF(b2_10_same,0,row_b10))</f>
        <v>0</v>
      </c>
      <c r="I508" s="259"/>
      <c r="J508" s="259"/>
      <c r="K508" s="259"/>
      <c r="L508" s="259"/>
      <c r="M508" s="261"/>
      <c r="N508" s="261"/>
      <c r="O508" s="261"/>
      <c r="P508" s="261"/>
      <c r="Q508" s="261"/>
      <c r="R508" s="261"/>
      <c r="S508" s="261"/>
      <c r="T508" s="261"/>
      <c r="U508" s="261"/>
      <c r="V508" s="261"/>
      <c r="W508" s="261"/>
      <c r="X508" s="261"/>
      <c r="Y508" s="261"/>
      <c r="Z508" s="237" t="str">
        <f>BIN2HEX(RIGHT((LEFT(Z504,16)),4))</f>
        <v>F</v>
      </c>
    </row>
    <row r="509" spans="2:26" ht="13.5" thickBot="1">
      <c r="B509" s="264" t="s">
        <v>17</v>
      </c>
      <c r="C509" s="277" t="s">
        <v>254</v>
      </c>
      <c r="D509" s="265" t="str">
        <f>HEX2BIN(D508,D507)</f>
        <v>11111</v>
      </c>
      <c r="E509" s="265" t="str">
        <f>HEX2BIN(E508,E507)</f>
        <v>000</v>
      </c>
      <c r="F509" s="265" t="str">
        <f>HEX2BIN(F508,F507)</f>
        <v>11111</v>
      </c>
      <c r="G509" s="265" t="str">
        <f>HEX2BIN(G508,G507)</f>
        <v>0000</v>
      </c>
      <c r="H509" s="265" t="str">
        <f>HEX2BIN(H508,H507)</f>
        <v>0000</v>
      </c>
      <c r="I509" s="265"/>
      <c r="J509" s="265"/>
      <c r="K509" s="265"/>
      <c r="L509" s="265"/>
      <c r="M509" s="261"/>
      <c r="N509" s="261"/>
      <c r="O509" s="261"/>
      <c r="P509" s="261"/>
      <c r="Q509" s="261"/>
      <c r="R509" s="261"/>
      <c r="S509" s="261"/>
      <c r="T509" s="261"/>
      <c r="U509" s="261"/>
      <c r="V509" s="261"/>
      <c r="W509" s="261"/>
      <c r="X509" s="261"/>
      <c r="Y509" s="261"/>
      <c r="Z509" s="237" t="str">
        <f>BIN2HEX(RIGHT((LEFT(Z504,20)),4))</f>
        <v>1</v>
      </c>
    </row>
    <row r="510" spans="2:26" ht="13.5" thickBot="1">
      <c r="B510" s="266" t="s">
        <v>18</v>
      </c>
      <c r="C510" s="267" t="str">
        <f>CONCATENATE("0x",Z505,Z506,Z507,Z508,Z509,Z510,Z511,Z512)</f>
        <v>0x001F1F00</v>
      </c>
      <c r="Z510" s="237" t="str">
        <f>BIN2HEX(RIGHT((LEFT(Z504,24)),4))</f>
        <v>F</v>
      </c>
    </row>
    <row r="511" spans="2:26">
      <c r="Z511" s="237" t="str">
        <f>BIN2HEX(RIGHT((LEFT(Z504,28)),4))</f>
        <v>0</v>
      </c>
    </row>
    <row r="512" spans="2:26">
      <c r="Z512" s="237" t="str">
        <f>BIN2HEX(RIGHT((LEFT(Z504,33)),4))</f>
        <v>0</v>
      </c>
    </row>
    <row r="515" spans="2:26">
      <c r="Z515" s="248" t="s">
        <v>190</v>
      </c>
    </row>
    <row r="516" spans="2:26" ht="13.5" thickBot="1">
      <c r="Z516" s="237" t="str">
        <f>CONCATENATE(C521,D521,E521,F521,G521,H521,I521,J521)</f>
        <v>00000100000101100000100100000101</v>
      </c>
    </row>
    <row r="517" spans="2:26" ht="13.5" thickBot="1">
      <c r="B517" s="245" t="s">
        <v>847</v>
      </c>
      <c r="C517" s="246"/>
      <c r="D517" s="246"/>
      <c r="E517" s="246"/>
      <c r="F517" s="246"/>
      <c r="G517" s="246"/>
      <c r="H517" s="246"/>
      <c r="I517" s="246"/>
      <c r="J517" s="246"/>
      <c r="L517" s="248"/>
      <c r="M517" s="248"/>
      <c r="N517" s="248"/>
      <c r="O517" s="248"/>
      <c r="P517" s="248"/>
      <c r="Q517" s="248"/>
      <c r="R517" s="248"/>
      <c r="S517" s="248"/>
      <c r="T517" s="248"/>
      <c r="U517" s="248"/>
      <c r="V517" s="248"/>
      <c r="W517" s="248"/>
      <c r="X517" s="248"/>
      <c r="Y517" s="248"/>
      <c r="Z517" s="237" t="str">
        <f>BIN2HEX(RIGHT((LEFT(Z516,4)),4))</f>
        <v>0</v>
      </c>
    </row>
    <row r="518" spans="2:26" ht="13.5" thickTop="1">
      <c r="B518" s="249"/>
      <c r="C518" s="268" t="s">
        <v>180</v>
      </c>
      <c r="D518" s="251" t="s">
        <v>191</v>
      </c>
      <c r="E518" s="251" t="s">
        <v>192</v>
      </c>
      <c r="F518" s="251" t="s">
        <v>193</v>
      </c>
      <c r="G518" s="251" t="s">
        <v>194</v>
      </c>
      <c r="H518" s="251" t="s">
        <v>195</v>
      </c>
      <c r="I518" s="251" t="s">
        <v>196</v>
      </c>
      <c r="J518" s="251" t="s">
        <v>197</v>
      </c>
      <c r="L518" s="272"/>
      <c r="M518" s="272"/>
      <c r="N518" s="272"/>
      <c r="O518" s="272"/>
      <c r="P518" s="272"/>
      <c r="Q518" s="272"/>
      <c r="R518" s="272"/>
      <c r="S518" s="272"/>
      <c r="T518" s="272"/>
      <c r="U518" s="272"/>
      <c r="V518" s="272"/>
      <c r="W518" s="272"/>
      <c r="X518" s="272"/>
      <c r="Y518" s="272"/>
      <c r="Z518" s="237" t="str">
        <f>BIN2HEX(RIGHT((LEFT(Z516,8)),4))</f>
        <v>4</v>
      </c>
    </row>
    <row r="519" spans="2:26">
      <c r="B519" s="255" t="s">
        <v>189</v>
      </c>
      <c r="C519" s="256">
        <v>3</v>
      </c>
      <c r="D519" s="257">
        <v>5</v>
      </c>
      <c r="E519" s="257">
        <v>1</v>
      </c>
      <c r="F519" s="257">
        <v>7</v>
      </c>
      <c r="G519" s="257">
        <v>1</v>
      </c>
      <c r="H519" s="257">
        <v>7</v>
      </c>
      <c r="I519" s="257">
        <v>3</v>
      </c>
      <c r="J519" s="257">
        <v>5</v>
      </c>
      <c r="L519" s="272"/>
      <c r="M519" s="272"/>
      <c r="N519" s="272"/>
      <c r="O519" s="272"/>
      <c r="P519" s="272"/>
      <c r="Q519" s="272"/>
      <c r="R519" s="272"/>
      <c r="S519" s="272"/>
      <c r="T519" s="272"/>
      <c r="U519" s="272"/>
      <c r="V519" s="272"/>
      <c r="W519" s="272"/>
      <c r="X519" s="272"/>
      <c r="Y519" s="272"/>
      <c r="Z519" s="237" t="str">
        <f>BIN2HEX(RIGHT((LEFT(Z516,12)),4))</f>
        <v>1</v>
      </c>
    </row>
    <row r="520" spans="2:26">
      <c r="B520" s="262" t="s">
        <v>16</v>
      </c>
      <c r="C520" s="263">
        <v>0</v>
      </c>
      <c r="D520" s="259" t="str">
        <f>DEC2HEX(CEILING(tRRD_L/tCK,1))</f>
        <v>4</v>
      </c>
      <c r="E520" s="259">
        <v>0</v>
      </c>
      <c r="F520" s="259" t="str">
        <f>DEC2HEX(CEILING(tRAS/tCK,1))</f>
        <v>16</v>
      </c>
      <c r="G520" s="259">
        <v>0</v>
      </c>
      <c r="H520" s="259" t="str">
        <f>DEC2HEX(CEILING(tRP/tCK,1))</f>
        <v>9</v>
      </c>
      <c r="I520" s="259">
        <v>0</v>
      </c>
      <c r="J520" s="259" t="str">
        <f>DEC2HEX(CEILING(tRTP/tCK,1))</f>
        <v>5</v>
      </c>
      <c r="L520" s="261"/>
      <c r="M520" s="261"/>
      <c r="N520" s="261"/>
      <c r="O520" s="261"/>
      <c r="P520" s="261"/>
      <c r="Q520" s="261"/>
      <c r="R520" s="261"/>
      <c r="S520" s="261"/>
      <c r="T520" s="261"/>
      <c r="U520" s="261"/>
      <c r="V520" s="261"/>
      <c r="W520" s="261"/>
      <c r="X520" s="261"/>
      <c r="Y520" s="261"/>
      <c r="Z520" s="237" t="str">
        <f>BIN2HEX(RIGHT((LEFT(Z516,16)),4))</f>
        <v>6</v>
      </c>
    </row>
    <row r="521" spans="2:26" ht="13.5" thickBot="1">
      <c r="B521" s="264" t="s">
        <v>17</v>
      </c>
      <c r="C521" s="265" t="str">
        <f t="shared" ref="C521:H521" si="26">HEX2BIN(C520,C519)</f>
        <v>000</v>
      </c>
      <c r="D521" s="265" t="str">
        <f t="shared" si="26"/>
        <v>00100</v>
      </c>
      <c r="E521" s="265" t="str">
        <f t="shared" si="26"/>
        <v>0</v>
      </c>
      <c r="F521" s="265" t="str">
        <f t="shared" si="26"/>
        <v>0010110</v>
      </c>
      <c r="G521" s="265" t="str">
        <f t="shared" si="26"/>
        <v>0</v>
      </c>
      <c r="H521" s="265" t="str">
        <f t="shared" si="26"/>
        <v>0001001</v>
      </c>
      <c r="I521" s="265" t="str">
        <f>HEX2BIN(I520,I519)</f>
        <v>000</v>
      </c>
      <c r="J521" s="265" t="str">
        <f>HEX2BIN(J520,J519)</f>
        <v>00101</v>
      </c>
      <c r="L521" s="261"/>
      <c r="M521" s="261"/>
      <c r="N521" s="261"/>
      <c r="O521" s="261"/>
      <c r="P521" s="261"/>
      <c r="Q521" s="261"/>
      <c r="R521" s="261"/>
      <c r="S521" s="261"/>
      <c r="T521" s="261"/>
      <c r="U521" s="261"/>
      <c r="V521" s="261"/>
      <c r="W521" s="261"/>
      <c r="X521" s="261"/>
      <c r="Y521" s="261"/>
      <c r="Z521" s="237" t="str">
        <f>BIN2HEX(RIGHT((LEFT(Z516,20)),4))</f>
        <v>0</v>
      </c>
    </row>
    <row r="522" spans="2:26" ht="13.5" thickBot="1">
      <c r="B522" s="266" t="s">
        <v>18</v>
      </c>
      <c r="C522" s="267" t="str">
        <f>CONCATENATE("0x",Z517,Z518,Z519,Z520,Z521,Z522,Z523,Z524)</f>
        <v>0x04160905</v>
      </c>
      <c r="Z522" s="237" t="str">
        <f>BIN2HEX(RIGHT((LEFT(Z516,24)),4))</f>
        <v>9</v>
      </c>
    </row>
    <row r="523" spans="2:26">
      <c r="Z523" s="237" t="str">
        <f>BIN2HEX(RIGHT((LEFT(Z516,28)),4))</f>
        <v>0</v>
      </c>
    </row>
    <row r="524" spans="2:26">
      <c r="Z524" s="237" t="str">
        <f>BIN2HEX(RIGHT((LEFT(Z516,33)),4))</f>
        <v>5</v>
      </c>
    </row>
    <row r="526" spans="2:26">
      <c r="Z526" s="248" t="s">
        <v>198</v>
      </c>
    </row>
    <row r="527" spans="2:26" ht="13.5" thickBot="1">
      <c r="Z527" s="237" t="str">
        <f>CONCATENATE(C532,D532,E532,F532,G532,H532,I532,J532)</f>
        <v>00101000000101000000000000000000</v>
      </c>
    </row>
    <row r="528" spans="2:26" ht="13.5" thickBot="1">
      <c r="B528" s="245" t="s">
        <v>848</v>
      </c>
      <c r="C528" s="246"/>
      <c r="D528" s="246"/>
      <c r="E528" s="246"/>
      <c r="F528" s="246"/>
      <c r="G528" s="246"/>
      <c r="H528" s="246"/>
      <c r="I528" s="246"/>
      <c r="J528" s="246"/>
      <c r="L528" s="248"/>
      <c r="M528" s="248"/>
      <c r="N528" s="248"/>
      <c r="O528" s="248"/>
      <c r="P528" s="248"/>
      <c r="Q528" s="248"/>
      <c r="R528" s="248"/>
      <c r="S528" s="248"/>
      <c r="T528" s="248"/>
      <c r="U528" s="248"/>
      <c r="V528" s="248"/>
      <c r="W528" s="248"/>
      <c r="X528" s="248"/>
      <c r="Y528" s="248"/>
      <c r="Z528" s="237" t="str">
        <f>BIN2HEX(RIGHT((LEFT(Z527,4)),4))</f>
        <v>2</v>
      </c>
    </row>
    <row r="529" spans="2:26" ht="13.5" thickTop="1">
      <c r="B529" s="249"/>
      <c r="C529" s="268" t="s">
        <v>87</v>
      </c>
      <c r="D529" s="251" t="s">
        <v>199</v>
      </c>
      <c r="E529" s="251" t="s">
        <v>192</v>
      </c>
      <c r="F529" s="251" t="s">
        <v>200</v>
      </c>
      <c r="G529" s="251" t="s">
        <v>201</v>
      </c>
      <c r="H529" s="251" t="s">
        <v>202</v>
      </c>
      <c r="I529" s="251" t="s">
        <v>196</v>
      </c>
      <c r="J529" s="251" t="s">
        <v>203</v>
      </c>
      <c r="L529" s="272"/>
      <c r="M529" s="272"/>
      <c r="N529" s="272"/>
      <c r="O529" s="272"/>
      <c r="P529" s="272"/>
      <c r="Q529" s="272"/>
      <c r="R529" s="272"/>
      <c r="S529" s="272"/>
      <c r="T529" s="272"/>
      <c r="U529" s="272"/>
      <c r="V529" s="272"/>
      <c r="W529" s="272"/>
      <c r="X529" s="272"/>
      <c r="Y529" s="272"/>
      <c r="Z529" s="237" t="str">
        <f>BIN2HEX(RIGHT((LEFT(Z527,8)),4))</f>
        <v>8</v>
      </c>
    </row>
    <row r="530" spans="2:26">
      <c r="B530" s="255" t="s">
        <v>189</v>
      </c>
      <c r="C530" s="256">
        <v>1</v>
      </c>
      <c r="D530" s="257">
        <v>7</v>
      </c>
      <c r="E530" s="257">
        <v>1</v>
      </c>
      <c r="F530" s="257">
        <v>7</v>
      </c>
      <c r="G530" s="257">
        <v>5</v>
      </c>
      <c r="H530" s="257">
        <v>3</v>
      </c>
      <c r="I530" s="257">
        <v>3</v>
      </c>
      <c r="J530" s="257">
        <v>5</v>
      </c>
      <c r="L530" s="272"/>
      <c r="M530" s="272"/>
      <c r="N530" s="272"/>
      <c r="O530" s="272"/>
      <c r="P530" s="272"/>
      <c r="Q530" s="272"/>
      <c r="R530" s="272"/>
      <c r="S530" s="272"/>
      <c r="T530" s="272"/>
      <c r="U530" s="272"/>
      <c r="V530" s="272"/>
      <c r="W530" s="272"/>
      <c r="X530" s="272"/>
      <c r="Y530" s="272"/>
      <c r="Z530" s="237" t="str">
        <f>BIN2HEX(RIGHT((LEFT(Z527,12)),4))</f>
        <v>1</v>
      </c>
    </row>
    <row r="531" spans="2:26">
      <c r="B531" s="262" t="s">
        <v>16</v>
      </c>
      <c r="C531" s="263">
        <v>0</v>
      </c>
      <c r="D531" s="259" t="str">
        <f>DEC2HEX(CEILING(tWLMRD/tCK,1))</f>
        <v>28</v>
      </c>
      <c r="E531" s="259">
        <v>0</v>
      </c>
      <c r="F531" s="259" t="str">
        <f>DEC2HEX(CEILING(tFAW/tCK,1))</f>
        <v>14</v>
      </c>
      <c r="G531" s="259">
        <v>0</v>
      </c>
      <c r="H531" s="259">
        <f>IF(Memory_Type="DDR4",IF(ISNA(INDEX(H534:I541,MATCH(CEILING(tMOD/tCK,1),H534:H541,0),2)),7,INDEX(H534:I541,MATCH(CEILING(tMOD/tCK,1),H534:H541,0),2)),IF(Memory_Type="DDR3L",IF(ISNA(INDEX(H543:I548,MATCH(CEILING(tMOD/tCK,1),H543:H548,0),2)),7,INDEX(H543:I548,MATCH(CEILING(tMOD/tCK,1),H543:H548,0),2)),4))</f>
        <v>0</v>
      </c>
      <c r="I531" s="259">
        <v>0</v>
      </c>
      <c r="J531" s="259">
        <f>IF(Memory_Type="DDR4",DEC2HEX(CEILING(tMRD/tCK,1))-8,IF(Memory_Type="DDR3L",DEC2HEX(CEILING(tMRD/tCK,1))-4,DEC2HEX(CEILING(tMRD/tCK,1))))</f>
        <v>0</v>
      </c>
      <c r="L531" s="261"/>
      <c r="M531" s="261"/>
      <c r="N531" s="261"/>
      <c r="O531" s="261"/>
      <c r="P531" s="261"/>
      <c r="Q531" s="261"/>
      <c r="R531" s="261"/>
      <c r="S531" s="261"/>
      <c r="T531" s="261"/>
      <c r="U531" s="261"/>
      <c r="V531" s="261"/>
      <c r="W531" s="261"/>
      <c r="X531" s="261"/>
      <c r="Y531" s="261"/>
      <c r="Z531" s="237" t="str">
        <f>BIN2HEX(RIGHT((LEFT(Z527,16)),4))</f>
        <v>4</v>
      </c>
    </row>
    <row r="532" spans="2:26" ht="13.5" thickBot="1">
      <c r="B532" s="264" t="s">
        <v>17</v>
      </c>
      <c r="C532" s="265" t="str">
        <f t="shared" ref="C532:H532" si="27">HEX2BIN(C531,C530)</f>
        <v>0</v>
      </c>
      <c r="D532" s="265" t="str">
        <f t="shared" si="27"/>
        <v>0101000</v>
      </c>
      <c r="E532" s="265" t="str">
        <f t="shared" si="27"/>
        <v>0</v>
      </c>
      <c r="F532" s="265" t="str">
        <f t="shared" si="27"/>
        <v>0010100</v>
      </c>
      <c r="G532" s="265" t="str">
        <f t="shared" si="27"/>
        <v>00000</v>
      </c>
      <c r="H532" s="265" t="str">
        <f t="shared" si="27"/>
        <v>000</v>
      </c>
      <c r="I532" s="265" t="str">
        <f>HEX2BIN(I531,I530)</f>
        <v>000</v>
      </c>
      <c r="J532" s="265" t="str">
        <f>HEX2BIN(J531,J530)</f>
        <v>00000</v>
      </c>
      <c r="L532" s="261"/>
      <c r="M532" s="261"/>
      <c r="N532" s="261"/>
      <c r="O532" s="261"/>
      <c r="P532" s="261"/>
      <c r="Q532" s="261"/>
      <c r="R532" s="261"/>
      <c r="S532" s="261"/>
      <c r="T532" s="261"/>
      <c r="U532" s="261"/>
      <c r="V532" s="261"/>
      <c r="W532" s="261"/>
      <c r="X532" s="261"/>
      <c r="Y532" s="261"/>
      <c r="Z532" s="237" t="str">
        <f>BIN2HEX(RIGHT((LEFT(Z527,20)),4))</f>
        <v>0</v>
      </c>
    </row>
    <row r="533" spans="2:26" ht="13.5" thickBot="1">
      <c r="B533" s="266" t="s">
        <v>18</v>
      </c>
      <c r="C533" s="267" t="str">
        <f>CONCATENATE("0x",Z528,Z529,Z530,Z531,Z532,Z533,Z534,Z535)</f>
        <v>0x28140000</v>
      </c>
      <c r="H533" s="237" t="s">
        <v>1127</v>
      </c>
      <c r="Z533" s="237" t="str">
        <f>BIN2HEX(RIGHT((LEFT(Z527,24)),4))</f>
        <v>0</v>
      </c>
    </row>
    <row r="534" spans="2:26">
      <c r="H534" s="237">
        <v>24</v>
      </c>
      <c r="I534" s="237">
        <v>0</v>
      </c>
      <c r="Z534" s="237" t="str">
        <f>BIN2HEX(RIGHT((LEFT(Z527,28)),4))</f>
        <v>0</v>
      </c>
    </row>
    <row r="535" spans="2:26">
      <c r="H535" s="237">
        <v>25</v>
      </c>
      <c r="I535" s="237">
        <v>1</v>
      </c>
      <c r="Z535" s="237" t="str">
        <f>BIN2HEX(RIGHT((LEFT(Z527,33)),4))</f>
        <v>0</v>
      </c>
    </row>
    <row r="536" spans="2:26">
      <c r="H536" s="237">
        <v>26</v>
      </c>
      <c r="I536" s="237">
        <v>2</v>
      </c>
    </row>
    <row r="537" spans="2:26">
      <c r="H537" s="237">
        <v>27</v>
      </c>
      <c r="I537" s="237">
        <v>3</v>
      </c>
    </row>
    <row r="538" spans="2:26">
      <c r="H538" s="237">
        <v>28</v>
      </c>
      <c r="I538" s="237">
        <v>4</v>
      </c>
    </row>
    <row r="539" spans="2:26">
      <c r="H539" s="237">
        <v>29</v>
      </c>
      <c r="I539" s="237">
        <v>5</v>
      </c>
    </row>
    <row r="540" spans="2:26">
      <c r="H540" s="237">
        <v>30</v>
      </c>
      <c r="I540" s="237">
        <v>6</v>
      </c>
    </row>
    <row r="542" spans="2:26">
      <c r="H542" s="237" t="s">
        <v>1128</v>
      </c>
    </row>
    <row r="543" spans="2:26">
      <c r="H543" s="237">
        <v>12</v>
      </c>
      <c r="I543" s="237">
        <v>0</v>
      </c>
    </row>
    <row r="544" spans="2:26">
      <c r="H544" s="237">
        <v>13</v>
      </c>
      <c r="I544" s="237">
        <v>1</v>
      </c>
    </row>
    <row r="545" spans="2:26">
      <c r="H545" s="237">
        <v>14</v>
      </c>
      <c r="I545" s="237">
        <v>2</v>
      </c>
    </row>
    <row r="546" spans="2:26">
      <c r="H546" s="237">
        <v>15</v>
      </c>
      <c r="I546" s="237">
        <v>3</v>
      </c>
    </row>
    <row r="547" spans="2:26">
      <c r="H547" s="237">
        <v>16</v>
      </c>
      <c r="I547" s="237">
        <v>4</v>
      </c>
    </row>
    <row r="548" spans="2:26">
      <c r="H548" s="237">
        <v>17</v>
      </c>
      <c r="I548" s="237">
        <v>5</v>
      </c>
      <c r="Z548" s="248" t="s">
        <v>207</v>
      </c>
    </row>
    <row r="549" spans="2:26" ht="13.5" thickBot="1">
      <c r="Z549" s="237" t="str">
        <f>CONCATENATE(C554,D554,E554,F554,G554,H554,I554,J554,K554)</f>
        <v>00000000001101001110001100000000</v>
      </c>
    </row>
    <row r="550" spans="2:26" ht="13.5" thickBot="1">
      <c r="B550" s="245" t="s">
        <v>849</v>
      </c>
      <c r="C550" s="246"/>
      <c r="D550" s="246"/>
      <c r="E550" s="246"/>
      <c r="F550" s="246"/>
      <c r="G550" s="246"/>
      <c r="H550" s="246"/>
      <c r="I550" s="246"/>
      <c r="J550" s="246"/>
      <c r="K550" s="246"/>
      <c r="L550" s="248"/>
      <c r="M550" s="248"/>
      <c r="N550" s="248"/>
      <c r="O550" s="248"/>
      <c r="P550" s="248"/>
      <c r="Q550" s="248"/>
      <c r="R550" s="248"/>
      <c r="S550" s="248"/>
      <c r="T550" s="248"/>
      <c r="U550" s="248"/>
      <c r="V550" s="248"/>
      <c r="W550" s="248"/>
      <c r="X550" s="248"/>
      <c r="Y550" s="248"/>
      <c r="Z550" s="237" t="str">
        <f>BIN2HEX(RIGHT((LEFT(Z549,4)),4))</f>
        <v>0</v>
      </c>
    </row>
    <row r="551" spans="2:26" ht="13.5" thickTop="1">
      <c r="B551" s="249"/>
      <c r="C551" s="268" t="s">
        <v>180</v>
      </c>
      <c r="D551" s="251" t="s">
        <v>208</v>
      </c>
      <c r="E551" s="251" t="s">
        <v>209</v>
      </c>
      <c r="F551" s="251" t="s">
        <v>210</v>
      </c>
      <c r="G551" s="251" t="s">
        <v>211</v>
      </c>
      <c r="H551" s="251" t="s">
        <v>212</v>
      </c>
      <c r="I551" s="251" t="s">
        <v>213</v>
      </c>
      <c r="J551" s="251" t="s">
        <v>214</v>
      </c>
      <c r="K551" s="252" t="s">
        <v>215</v>
      </c>
      <c r="L551" s="272"/>
      <c r="M551" s="272"/>
      <c r="N551" s="272"/>
      <c r="O551" s="272"/>
      <c r="P551" s="272"/>
      <c r="Q551" s="272"/>
      <c r="R551" s="272"/>
      <c r="S551" s="272"/>
      <c r="T551" s="272"/>
      <c r="U551" s="272"/>
      <c r="V551" s="272"/>
      <c r="W551" s="272"/>
      <c r="X551" s="272"/>
      <c r="Y551" s="272"/>
      <c r="Z551" s="237" t="str">
        <f>BIN2HEX(RIGHT((LEFT(Z549,8)),4))</f>
        <v>0</v>
      </c>
    </row>
    <row r="552" spans="2:26">
      <c r="B552" s="255" t="s">
        <v>189</v>
      </c>
      <c r="C552" s="256">
        <v>3</v>
      </c>
      <c r="D552" s="257">
        <v>1</v>
      </c>
      <c r="E552" s="257">
        <v>3</v>
      </c>
      <c r="F552" s="257">
        <v>1</v>
      </c>
      <c r="G552" s="257">
        <v>4</v>
      </c>
      <c r="H552" s="257">
        <v>4</v>
      </c>
      <c r="I552" s="257">
        <v>3</v>
      </c>
      <c r="J552" s="257">
        <v>3</v>
      </c>
      <c r="K552" s="258">
        <v>10</v>
      </c>
      <c r="L552" s="272"/>
      <c r="M552" s="272"/>
      <c r="N552" s="272"/>
      <c r="O552" s="272"/>
      <c r="P552" s="272"/>
      <c r="Q552" s="272"/>
      <c r="R552" s="272"/>
      <c r="S552" s="272"/>
      <c r="T552" s="272"/>
      <c r="U552" s="272"/>
      <c r="V552" s="272"/>
      <c r="W552" s="272"/>
      <c r="X552" s="272"/>
      <c r="Y552" s="272"/>
      <c r="Z552" s="237" t="str">
        <f>BIN2HEX(RIGHT((LEFT(Z549,12)),4))</f>
        <v>3</v>
      </c>
    </row>
    <row r="553" spans="2:26">
      <c r="B553" s="262" t="s">
        <v>16</v>
      </c>
      <c r="C553" s="263">
        <v>0</v>
      </c>
      <c r="D553" s="259">
        <v>0</v>
      </c>
      <c r="E553" s="259">
        <v>0</v>
      </c>
      <c r="F553" s="259">
        <v>0</v>
      </c>
      <c r="G553" s="275">
        <f>IF(Memory_Type="LPDDR4",DEC2HEX(CEILING(tCMDCKE/tCK,1)+3),3)</f>
        <v>3</v>
      </c>
      <c r="H553" s="259" t="str">
        <f>DEC2HEX(IF(OR(Memory_Type="DDR4",Memory_Type="LPDDR4"),CEILING(tCKE/tCK,1),CEILING(tCKESR/tCK,1)))</f>
        <v>4</v>
      </c>
      <c r="I553" s="237">
        <f>IF(Memory_Type="LPDDR4",VLOOKUP(I556,H557:I564,2,FALSE),7)</f>
        <v>7</v>
      </c>
      <c r="J553" s="259">
        <v>0</v>
      </c>
      <c r="K553" s="259" t="str">
        <f>IF(OR(Memory_Type="DDR4",Memory_Type="DDR3L"),DEC2HEX(CEILING(MAX(tXS,tXSDLL)/tCK,1),3),DEC2HEX(CEILING(tXSR/tCK,1),3))</f>
        <v>300</v>
      </c>
      <c r="M553" s="261"/>
      <c r="N553" s="261"/>
      <c r="O553" s="261"/>
      <c r="P553" s="261"/>
      <c r="Q553" s="261"/>
      <c r="R553" s="261"/>
      <c r="S553" s="261"/>
      <c r="T553" s="261"/>
      <c r="U553" s="261"/>
      <c r="V553" s="261"/>
      <c r="W553" s="261"/>
      <c r="X553" s="261"/>
      <c r="Y553" s="261"/>
      <c r="Z553" s="237" t="str">
        <f>BIN2HEX(RIGHT((LEFT(Z549,16)),4))</f>
        <v>4</v>
      </c>
    </row>
    <row r="554" spans="2:26" ht="13.5" thickBot="1">
      <c r="B554" s="264" t="s">
        <v>17</v>
      </c>
      <c r="C554" s="265" t="str">
        <f t="shared" ref="C554:I554" si="28">HEX2BIN(C553,C552)</f>
        <v>000</v>
      </c>
      <c r="D554" s="265" t="str">
        <f t="shared" si="28"/>
        <v>0</v>
      </c>
      <c r="E554" s="265" t="str">
        <f t="shared" si="28"/>
        <v>000</v>
      </c>
      <c r="F554" s="265" t="str">
        <f t="shared" si="28"/>
        <v>0</v>
      </c>
      <c r="G554" s="265" t="str">
        <f t="shared" si="28"/>
        <v>0011</v>
      </c>
      <c r="H554" s="265" t="str">
        <f t="shared" si="28"/>
        <v>0100</v>
      </c>
      <c r="I554" s="265" t="str">
        <f t="shared" si="28"/>
        <v>111</v>
      </c>
      <c r="J554" s="265" t="str">
        <f>HEX2BIN(J553,J552)</f>
        <v>000</v>
      </c>
      <c r="K554" s="265" t="str">
        <f>CONCATENATE(HEX2BIN(LEFT(K553,1),2),HEX2BIN(RIGHT(LEFT(K553,3),2),8))</f>
        <v>1100000000</v>
      </c>
      <c r="L554" s="261"/>
      <c r="M554" s="261"/>
      <c r="N554" s="261"/>
      <c r="O554" s="261"/>
      <c r="P554" s="261"/>
      <c r="Q554" s="261"/>
      <c r="R554" s="261"/>
      <c r="S554" s="261"/>
      <c r="T554" s="261"/>
      <c r="U554" s="261"/>
      <c r="V554" s="261"/>
      <c r="W554" s="261"/>
      <c r="X554" s="261"/>
      <c r="Y554" s="261"/>
      <c r="Z554" s="237" t="str">
        <f>BIN2HEX(RIGHT((LEFT(Z549,20)),4))</f>
        <v>E</v>
      </c>
    </row>
    <row r="555" spans="2:26" ht="13.5" thickBot="1">
      <c r="B555" s="266" t="s">
        <v>18</v>
      </c>
      <c r="C555" s="267" t="str">
        <f>CONCATENATE("0x",Z550,Z551,Z552,Z553,Z554,Z555,Z556,Z557)</f>
        <v>0x0034E300</v>
      </c>
      <c r="K555" s="261"/>
      <c r="Z555" s="237" t="str">
        <f>BIN2HEX(RIGHT((LEFT(Z549,24)),4))</f>
        <v>3</v>
      </c>
    </row>
    <row r="556" spans="2:26">
      <c r="H556" s="237" t="s">
        <v>1240</v>
      </c>
      <c r="I556" s="282">
        <f t="array" ref="I556">MAX(IF(H557:H564&lt;MAX(tVRCG_ENABLE,tVRCG_DISABLE),H557:H564))</f>
        <v>192</v>
      </c>
      <c r="Z556" s="237" t="str">
        <f>BIN2HEX(RIGHT((LEFT(Z549,28)),4))</f>
        <v>0</v>
      </c>
    </row>
    <row r="557" spans="2:26">
      <c r="H557" s="237">
        <v>64</v>
      </c>
      <c r="I557" s="237">
        <v>0</v>
      </c>
      <c r="Z557" s="237" t="str">
        <f>BIN2HEX(RIGHT((LEFT(Z549,33)),4))</f>
        <v>0</v>
      </c>
    </row>
    <row r="558" spans="2:26">
      <c r="H558" s="237">
        <v>128</v>
      </c>
      <c r="I558" s="237">
        <v>1</v>
      </c>
    </row>
    <row r="559" spans="2:26">
      <c r="H559" s="237">
        <v>192</v>
      </c>
      <c r="I559" s="237">
        <v>2</v>
      </c>
    </row>
    <row r="560" spans="2:26">
      <c r="H560" s="237">
        <v>256</v>
      </c>
      <c r="I560" s="237">
        <v>3</v>
      </c>
    </row>
    <row r="561" spans="2:26">
      <c r="H561" s="237">
        <v>320</v>
      </c>
      <c r="I561" s="237">
        <v>4</v>
      </c>
    </row>
    <row r="562" spans="2:26">
      <c r="H562" s="237">
        <v>384</v>
      </c>
      <c r="I562" s="237">
        <v>5</v>
      </c>
    </row>
    <row r="563" spans="2:26">
      <c r="H563" s="237">
        <v>448</v>
      </c>
      <c r="I563" s="237">
        <v>6</v>
      </c>
    </row>
    <row r="564" spans="2:26">
      <c r="H564" s="237">
        <v>512</v>
      </c>
      <c r="I564" s="237">
        <v>7</v>
      </c>
    </row>
    <row r="565" spans="2:26">
      <c r="Z565" s="248" t="s">
        <v>216</v>
      </c>
    </row>
    <row r="566" spans="2:26" ht="13.5" thickBot="1">
      <c r="Z566" s="237" t="str">
        <f>CONCATENATE(C571,D571,E571,F571,G571,H571,I571)</f>
        <v>00000010100000000000100000000000</v>
      </c>
    </row>
    <row r="567" spans="2:26" ht="13.5" thickBot="1">
      <c r="B567" s="245" t="s">
        <v>850</v>
      </c>
      <c r="C567" s="246"/>
      <c r="D567" s="246"/>
      <c r="E567" s="246"/>
      <c r="F567" s="246"/>
      <c r="G567" s="246"/>
      <c r="H567" s="246"/>
      <c r="I567" s="246"/>
      <c r="J567" s="276"/>
      <c r="K567" s="276"/>
      <c r="L567" s="248"/>
      <c r="M567" s="248"/>
      <c r="N567" s="248"/>
      <c r="O567" s="248"/>
      <c r="P567" s="248"/>
      <c r="Q567" s="248"/>
      <c r="R567" s="248"/>
      <c r="S567" s="248"/>
      <c r="T567" s="248"/>
      <c r="U567" s="248"/>
      <c r="V567" s="248"/>
      <c r="W567" s="248"/>
      <c r="X567" s="248"/>
      <c r="Y567" s="248"/>
      <c r="Z567" s="237" t="str">
        <f>BIN2HEX(RIGHT((LEFT(Z566,4)),4))</f>
        <v>0</v>
      </c>
    </row>
    <row r="568" spans="2:26" ht="13.5" thickTop="1">
      <c r="B568" s="249"/>
      <c r="C568" s="268" t="s">
        <v>217</v>
      </c>
      <c r="D568" s="251" t="s">
        <v>224</v>
      </c>
      <c r="E568" s="251" t="s">
        <v>218</v>
      </c>
      <c r="F568" s="251" t="s">
        <v>219</v>
      </c>
      <c r="G568" s="251" t="s">
        <v>222</v>
      </c>
      <c r="H568" s="251" t="s">
        <v>220</v>
      </c>
      <c r="I568" s="251" t="s">
        <v>221</v>
      </c>
      <c r="J568" s="271"/>
      <c r="K568" s="271"/>
      <c r="L568" s="272"/>
      <c r="M568" s="272"/>
      <c r="N568" s="272"/>
      <c r="O568" s="272"/>
      <c r="P568" s="272"/>
      <c r="Q568" s="272"/>
      <c r="R568" s="272"/>
      <c r="S568" s="272"/>
      <c r="T568" s="272"/>
      <c r="U568" s="272"/>
      <c r="V568" s="272"/>
      <c r="W568" s="272"/>
      <c r="X568" s="272"/>
      <c r="Y568" s="272"/>
      <c r="Z568" s="237" t="str">
        <f>BIN2HEX(RIGHT((LEFT(Z566,8)),4))</f>
        <v>2</v>
      </c>
    </row>
    <row r="569" spans="2:26">
      <c r="B569" s="255" t="s">
        <v>189</v>
      </c>
      <c r="C569" s="256">
        <v>3</v>
      </c>
      <c r="D569" s="257">
        <v>3</v>
      </c>
      <c r="E569" s="257">
        <v>10</v>
      </c>
      <c r="F569" s="257">
        <v>4</v>
      </c>
      <c r="G569" s="257">
        <v>4</v>
      </c>
      <c r="H569" s="257">
        <v>5</v>
      </c>
      <c r="I569" s="257">
        <v>3</v>
      </c>
      <c r="J569" s="274"/>
      <c r="K569" s="274"/>
      <c r="L569" s="272"/>
      <c r="M569" s="272"/>
      <c r="N569" s="272"/>
      <c r="O569" s="272"/>
      <c r="P569" s="272"/>
      <c r="Q569" s="272"/>
      <c r="R569" s="272"/>
      <c r="S569" s="272"/>
      <c r="T569" s="272"/>
      <c r="U569" s="272"/>
      <c r="V569" s="272"/>
      <c r="W569" s="272"/>
      <c r="X569" s="272"/>
      <c r="Y569" s="272"/>
      <c r="Z569" s="237" t="str">
        <f>BIN2HEX(RIGHT((LEFT(Z566,12)),4))</f>
        <v>8</v>
      </c>
    </row>
    <row r="570" spans="2:26">
      <c r="B570" s="262" t="s">
        <v>16</v>
      </c>
      <c r="C570" s="263">
        <v>0</v>
      </c>
      <c r="D570" s="259" t="str">
        <f>DEC2HEX(IF(CEILING(tCCD_L/tCK,1)=BL/2,0,IF(CEILING(tCCD_L/tCK,1)=((BL/2)+1),1,"ERROR")))</f>
        <v>0</v>
      </c>
      <c r="E570" s="259" t="str">
        <f>IF(Memory_Type="LPDDR4","180",DEC2HEX(CEILING(tDLLK/tCK,1)-128))</f>
        <v>280</v>
      </c>
      <c r="F570" s="259">
        <v>0</v>
      </c>
      <c r="G570" s="275">
        <f>IF(Memory_Type="LPDDR4",DEC2HEX(CEILING(tDQSCKmax/tCK,1)),8)</f>
        <v>8</v>
      </c>
      <c r="H570" s="259">
        <v>0</v>
      </c>
      <c r="I570" s="275">
        <f>IF(Memory_Type="LPDDR4",DEC2HEX(CEILING(tDQSCKmin/tCK,1)),0)</f>
        <v>0</v>
      </c>
      <c r="J570" s="261"/>
      <c r="K570" s="261"/>
      <c r="L570" s="261"/>
      <c r="M570" s="261"/>
      <c r="N570" s="261"/>
      <c r="O570" s="261"/>
      <c r="P570" s="261"/>
      <c r="Q570" s="261"/>
      <c r="R570" s="261"/>
      <c r="S570" s="261"/>
      <c r="T570" s="261"/>
      <c r="U570" s="261"/>
      <c r="V570" s="261"/>
      <c r="W570" s="261"/>
      <c r="X570" s="261"/>
      <c r="Y570" s="261"/>
      <c r="Z570" s="237" t="str">
        <f>BIN2HEX(RIGHT((LEFT(Z566,16)),4))</f>
        <v>0</v>
      </c>
    </row>
    <row r="571" spans="2:26" ht="13.5" thickBot="1">
      <c r="B571" s="264" t="s">
        <v>17</v>
      </c>
      <c r="C571" s="265" t="str">
        <f t="shared" ref="C571:H571" si="29">HEX2BIN(C570,C569)</f>
        <v>000</v>
      </c>
      <c r="D571" s="265" t="str">
        <f t="shared" si="29"/>
        <v>000</v>
      </c>
      <c r="E571" s="261" t="str">
        <f>CONCATENATE(HEX2BIN(LEFT(E570,1),2),HEX2BIN(RIGHT(LEFT(E570,3),2),8))</f>
        <v>1010000000</v>
      </c>
      <c r="F571" s="265" t="str">
        <f t="shared" si="29"/>
        <v>0000</v>
      </c>
      <c r="G571" s="265" t="str">
        <f t="shared" si="29"/>
        <v>1000</v>
      </c>
      <c r="H571" s="265" t="str">
        <f t="shared" si="29"/>
        <v>00000</v>
      </c>
      <c r="I571" s="265" t="str">
        <f>HEX2BIN(I570,I569)</f>
        <v>000</v>
      </c>
      <c r="J571" s="261"/>
      <c r="K571" s="261"/>
      <c r="L571" s="261"/>
      <c r="M571" s="261"/>
      <c r="N571" s="261"/>
      <c r="O571" s="261"/>
      <c r="P571" s="261"/>
      <c r="Q571" s="261"/>
      <c r="R571" s="261"/>
      <c r="S571" s="261"/>
      <c r="T571" s="261"/>
      <c r="U571" s="261"/>
      <c r="V571" s="261"/>
      <c r="W571" s="261"/>
      <c r="X571" s="261"/>
      <c r="Y571" s="261"/>
      <c r="Z571" s="237" t="str">
        <f>BIN2HEX(RIGHT((LEFT(Z566,20)),4))</f>
        <v>0</v>
      </c>
    </row>
    <row r="572" spans="2:26" ht="13.5" thickBot="1">
      <c r="B572" s="266" t="s">
        <v>18</v>
      </c>
      <c r="C572" s="267" t="str">
        <f>CONCATENATE("0x",Z567,Z568,Z569,Z570,Z571,Z572,Z573,Z574)</f>
        <v>0x02800800</v>
      </c>
      <c r="Z572" s="237" t="str">
        <f>BIN2HEX(RIGHT((LEFT(Z566,24)),4))</f>
        <v>8</v>
      </c>
    </row>
    <row r="573" spans="2:26">
      <c r="Z573" s="237" t="str">
        <f>BIN2HEX(RIGHT((LEFT(Z566,28)),4))</f>
        <v>0</v>
      </c>
    </row>
    <row r="574" spans="2:26">
      <c r="Z574" s="237" t="str">
        <f>BIN2HEX(RIGHT((LEFT(Z566,33)),4))</f>
        <v>0</v>
      </c>
    </row>
    <row r="576" spans="2:26">
      <c r="Z576" s="248" t="s">
        <v>226</v>
      </c>
    </row>
    <row r="577" spans="2:26" ht="13.5" thickBot="1">
      <c r="Z577" s="237" t="str">
        <f>CONCATENATE(C582,D582,E582,F582,G582,H582,I582,J582)</f>
        <v>00110000111010100000011100000100</v>
      </c>
    </row>
    <row r="578" spans="2:26" ht="13.5" thickBot="1">
      <c r="B578" s="245" t="s">
        <v>851</v>
      </c>
      <c r="C578" s="246"/>
      <c r="D578" s="246"/>
      <c r="E578" s="246"/>
      <c r="F578" s="246"/>
      <c r="G578" s="246"/>
      <c r="H578" s="246"/>
      <c r="I578" s="246"/>
      <c r="J578" s="246"/>
      <c r="K578" s="276"/>
      <c r="L578" s="248"/>
      <c r="M578" s="248"/>
      <c r="N578" s="248"/>
      <c r="O578" s="248"/>
      <c r="P578" s="248"/>
      <c r="Q578" s="248"/>
      <c r="R578" s="248"/>
      <c r="S578" s="248"/>
      <c r="T578" s="248"/>
      <c r="U578" s="248"/>
      <c r="V578" s="248"/>
      <c r="W578" s="248"/>
      <c r="X578" s="248"/>
      <c r="Y578" s="248"/>
      <c r="Z578" s="237" t="str">
        <f>BIN2HEX(RIGHT((LEFT(Z577,4)),4))</f>
        <v>3</v>
      </c>
    </row>
    <row r="579" spans="2:26" ht="13.5" thickTop="1">
      <c r="B579" s="249"/>
      <c r="C579" s="268" t="s">
        <v>88</v>
      </c>
      <c r="D579" s="251" t="s">
        <v>233</v>
      </c>
      <c r="E579" s="251" t="s">
        <v>234</v>
      </c>
      <c r="F579" s="251" t="s">
        <v>235</v>
      </c>
      <c r="G579" s="251" t="s">
        <v>236</v>
      </c>
      <c r="H579" s="251" t="s">
        <v>237</v>
      </c>
      <c r="I579" s="251" t="s">
        <v>187</v>
      </c>
      <c r="J579" s="251" t="s">
        <v>238</v>
      </c>
      <c r="K579" s="271"/>
      <c r="L579" s="272"/>
      <c r="M579" s="272"/>
      <c r="N579" s="272"/>
      <c r="O579" s="272"/>
      <c r="P579" s="272"/>
      <c r="Q579" s="272"/>
      <c r="R579" s="272"/>
      <c r="S579" s="272"/>
      <c r="T579" s="272"/>
      <c r="U579" s="272"/>
      <c r="V579" s="272"/>
      <c r="W579" s="272"/>
      <c r="X579" s="272"/>
      <c r="Y579" s="272"/>
      <c r="Z579" s="237" t="str">
        <f>BIN2HEX(RIGHT((LEFT(Z577,8)),4))</f>
        <v>0</v>
      </c>
    </row>
    <row r="580" spans="2:26">
      <c r="B580" s="255" t="s">
        <v>189</v>
      </c>
      <c r="C580" s="256">
        <v>2</v>
      </c>
      <c r="D580" s="257">
        <v>2</v>
      </c>
      <c r="E580" s="257">
        <v>2</v>
      </c>
      <c r="F580" s="257">
        <v>10</v>
      </c>
      <c r="G580" s="257">
        <v>2</v>
      </c>
      <c r="H580" s="257">
        <v>6</v>
      </c>
      <c r="I580" s="257">
        <v>2</v>
      </c>
      <c r="J580" s="257">
        <v>6</v>
      </c>
      <c r="K580" s="274"/>
      <c r="L580" s="272"/>
      <c r="M580" s="272"/>
      <c r="N580" s="272"/>
      <c r="O580" s="272"/>
      <c r="P580" s="272"/>
      <c r="Q580" s="272"/>
      <c r="R580" s="272"/>
      <c r="S580" s="272"/>
      <c r="T580" s="272"/>
      <c r="U580" s="272"/>
      <c r="V580" s="272"/>
      <c r="W580" s="272"/>
      <c r="X580" s="272"/>
      <c r="Y580" s="272"/>
      <c r="Z580" s="237" t="str">
        <f>BIN2HEX(RIGHT((LEFT(Z577,12)),4))</f>
        <v>E</v>
      </c>
    </row>
    <row r="581" spans="2:26">
      <c r="B581" s="262" t="s">
        <v>16</v>
      </c>
      <c r="C581" s="263">
        <v>0</v>
      </c>
      <c r="D581" s="275" t="str">
        <f>DEC2HEX(IF(CEILING(tAOND_tODTon/tCK,1)&lt;=2,0,IF(CEILING(tAOND_tODTon/tCK,1)&lt;=3,1,IF(CEILING(tAOND_tODTon/tCK,1)&lt;=4,2,IF(CEILING(tAOND_tODTon/tCK,1)&lt;=5,3,3)))))</f>
        <v>3</v>
      </c>
      <c r="E581" s="259">
        <v>0</v>
      </c>
      <c r="F581" s="259" t="str">
        <f>DEC2HEX(CEILING(tRFC/tCK,1),3)</f>
        <v>0EA</v>
      </c>
      <c r="G581" s="259">
        <v>0</v>
      </c>
      <c r="H581" s="275" t="str">
        <f>DEC2HEX(CEILING(tWLO/tCK,1))</f>
        <v>7</v>
      </c>
      <c r="I581" s="259">
        <v>0</v>
      </c>
      <c r="J581" s="259" t="str">
        <f>IF(Memory_Type="DDR4",DEC2HEX(CEILING(tXP/tCK,1)),IF(Memory_Type="DDR3L",DEC2HEX(CEILING(MAX(tXP,tXPDLL)/tCK,1)),DEC2HEX(CEILING(tXP/tCK,1)+3)))</f>
        <v>4</v>
      </c>
      <c r="K581" s="261"/>
      <c r="L581" s="261"/>
      <c r="M581" s="261"/>
      <c r="N581" s="261"/>
      <c r="O581" s="261"/>
      <c r="P581" s="261"/>
      <c r="Q581" s="261"/>
      <c r="R581" s="261"/>
      <c r="S581" s="261"/>
      <c r="T581" s="261"/>
      <c r="U581" s="261"/>
      <c r="V581" s="261"/>
      <c r="W581" s="261"/>
      <c r="X581" s="261"/>
      <c r="Y581" s="261"/>
      <c r="Z581" s="237" t="str">
        <f>BIN2HEX(RIGHT((LEFT(Z577,16)),4))</f>
        <v>A</v>
      </c>
    </row>
    <row r="582" spans="2:26" ht="13.5" thickBot="1">
      <c r="B582" s="264" t="s">
        <v>17</v>
      </c>
      <c r="C582" s="265" t="str">
        <f t="shared" ref="C582:J582" si="30">HEX2BIN(C581,C580)</f>
        <v>00</v>
      </c>
      <c r="D582" s="265" t="str">
        <f t="shared" si="30"/>
        <v>11</v>
      </c>
      <c r="E582" s="265" t="str">
        <f t="shared" si="30"/>
        <v>00</v>
      </c>
      <c r="F582" s="261" t="str">
        <f>CONCATENATE(HEX2BIN(LEFT(F581,1),2),HEX2BIN(RIGHT(LEFT(F581,3),2),8))</f>
        <v>0011101010</v>
      </c>
      <c r="G582" s="265" t="str">
        <f t="shared" si="30"/>
        <v>00</v>
      </c>
      <c r="H582" s="265" t="str">
        <f t="shared" si="30"/>
        <v>000111</v>
      </c>
      <c r="I582" s="265" t="str">
        <f t="shared" si="30"/>
        <v>00</v>
      </c>
      <c r="J582" s="265" t="str">
        <f t="shared" si="30"/>
        <v>000100</v>
      </c>
      <c r="K582" s="261"/>
      <c r="L582" s="261"/>
      <c r="M582" s="261"/>
      <c r="N582" s="261"/>
      <c r="O582" s="261"/>
      <c r="P582" s="261"/>
      <c r="Q582" s="261"/>
      <c r="R582" s="261"/>
      <c r="S582" s="261"/>
      <c r="T582" s="261"/>
      <c r="U582" s="261"/>
      <c r="V582" s="261"/>
      <c r="W582" s="261"/>
      <c r="X582" s="261"/>
      <c r="Y582" s="261"/>
      <c r="Z582" s="237" t="str">
        <f>BIN2HEX(RIGHT((LEFT(Z577,20)),4))</f>
        <v>0</v>
      </c>
    </row>
    <row r="583" spans="2:26" ht="13.5" thickBot="1">
      <c r="B583" s="266" t="s">
        <v>18</v>
      </c>
      <c r="C583" s="267" t="str">
        <f>CONCATENATE("0x",Z578,Z579,Z580,Z581,Z582,Z583,Z584,Z585)</f>
        <v>0x30EA0704</v>
      </c>
      <c r="Z583" s="237" t="str">
        <f>BIN2HEX(RIGHT((LEFT(Z577,24)),4))</f>
        <v>7</v>
      </c>
    </row>
    <row r="584" spans="2:26">
      <c r="J584" s="241"/>
      <c r="K584" s="237"/>
      <c r="Z584" s="237" t="str">
        <f>BIN2HEX(RIGHT((LEFT(Z577,28)),4))</f>
        <v>0</v>
      </c>
    </row>
    <row r="585" spans="2:26">
      <c r="J585" s="241"/>
      <c r="K585" s="237"/>
      <c r="Z585" s="237" t="str">
        <f>BIN2HEX(RIGHT((LEFT(Z577,33)),4))</f>
        <v>4</v>
      </c>
    </row>
    <row r="586" spans="2:26">
      <c r="J586" s="241"/>
      <c r="K586" s="237"/>
    </row>
    <row r="587" spans="2:26">
      <c r="Z587" s="248" t="s">
        <v>232</v>
      </c>
    </row>
    <row r="588" spans="2:26" ht="13.5" thickBot="1">
      <c r="Z588" s="237" t="str">
        <f>CONCATENATE(C593,D593,E593,F593,G593,H593)</f>
        <v>00000000000111110000100100000101</v>
      </c>
    </row>
    <row r="589" spans="2:26" ht="13.5" thickBot="1">
      <c r="B589" s="245" t="s">
        <v>852</v>
      </c>
      <c r="C589" s="246"/>
      <c r="D589" s="246"/>
      <c r="E589" s="246"/>
      <c r="F589" s="246"/>
      <c r="G589" s="246"/>
      <c r="H589" s="246"/>
      <c r="I589" s="276"/>
      <c r="J589" s="276"/>
      <c r="K589" s="276"/>
      <c r="L589" s="248"/>
      <c r="M589" s="248"/>
      <c r="N589" s="248"/>
      <c r="O589" s="248"/>
      <c r="P589" s="248"/>
      <c r="Q589" s="248"/>
      <c r="R589" s="248"/>
      <c r="S589" s="248"/>
      <c r="T589" s="248"/>
      <c r="U589" s="248"/>
      <c r="V589" s="248"/>
      <c r="W589" s="248"/>
      <c r="X589" s="248"/>
      <c r="Y589" s="248"/>
      <c r="Z589" s="237" t="str">
        <f>BIN2HEX(RIGHT((LEFT(Z588,4)),4))</f>
        <v>0</v>
      </c>
    </row>
    <row r="590" spans="2:26" ht="13.5" thickTop="1">
      <c r="B590" s="249"/>
      <c r="C590" s="268" t="s">
        <v>228</v>
      </c>
      <c r="D590" s="251" t="s">
        <v>229</v>
      </c>
      <c r="E590" s="251" t="s">
        <v>194</v>
      </c>
      <c r="F590" s="251" t="s">
        <v>230</v>
      </c>
      <c r="G590" s="251" t="s">
        <v>196</v>
      </c>
      <c r="H590" s="251" t="s">
        <v>231</v>
      </c>
      <c r="I590" s="271"/>
      <c r="J590" s="271"/>
      <c r="K590" s="271"/>
      <c r="L590" s="272"/>
      <c r="M590" s="272"/>
      <c r="N590" s="272"/>
      <c r="O590" s="272"/>
      <c r="P590" s="272"/>
      <c r="Q590" s="272"/>
      <c r="R590" s="272"/>
      <c r="S590" s="272"/>
      <c r="T590" s="272"/>
      <c r="U590" s="272"/>
      <c r="V590" s="272"/>
      <c r="W590" s="272"/>
      <c r="X590" s="272"/>
      <c r="Y590" s="272"/>
      <c r="Z590" s="237" t="str">
        <f>BIN2HEX(RIGHT((LEFT(Z588,8)),4))</f>
        <v>0</v>
      </c>
    </row>
    <row r="591" spans="2:26">
      <c r="B591" s="255" t="s">
        <v>189</v>
      </c>
      <c r="C591" s="256">
        <v>8</v>
      </c>
      <c r="D591" s="257">
        <v>8</v>
      </c>
      <c r="E591" s="257">
        <v>1</v>
      </c>
      <c r="F591" s="257">
        <v>7</v>
      </c>
      <c r="G591" s="257">
        <v>3</v>
      </c>
      <c r="H591" s="257">
        <v>5</v>
      </c>
      <c r="I591" s="274"/>
      <c r="J591" s="274"/>
      <c r="K591" s="274"/>
      <c r="L591" s="272"/>
      <c r="M591" s="272"/>
      <c r="N591" s="272"/>
      <c r="O591" s="272"/>
      <c r="P591" s="272"/>
      <c r="Q591" s="272"/>
      <c r="R591" s="272"/>
      <c r="S591" s="272"/>
      <c r="T591" s="272"/>
      <c r="U591" s="272"/>
      <c r="V591" s="272"/>
      <c r="W591" s="272"/>
      <c r="X591" s="272"/>
      <c r="Y591" s="272"/>
      <c r="Z591" s="237" t="str">
        <f>BIN2HEX(RIGHT((LEFT(Z588,12)),4))</f>
        <v>1</v>
      </c>
    </row>
    <row r="592" spans="2:26">
      <c r="B592" s="262" t="s">
        <v>16</v>
      </c>
      <c r="C592" s="263">
        <f>IF(Memory_Type="LPDDR4",DEC2HEX(CEILING(20/tCK,1)),0)</f>
        <v>0</v>
      </c>
      <c r="D592" s="259" t="str">
        <f>DEC2HEX(CEILING(tRC/tCK,1))</f>
        <v>1F</v>
      </c>
      <c r="E592" s="259">
        <v>0</v>
      </c>
      <c r="F592" s="259" t="str">
        <f>DEC2HEX(CEILING(tRCD/tCK,1))</f>
        <v>9</v>
      </c>
      <c r="G592" s="259">
        <v>0</v>
      </c>
      <c r="H592" s="259" t="str">
        <f>DEC2HEX(CEILING(tWTR_L/tCK,1))</f>
        <v>5</v>
      </c>
      <c r="I592" s="261"/>
      <c r="J592" s="261"/>
      <c r="K592" s="261"/>
      <c r="L592" s="261"/>
      <c r="M592" s="261"/>
      <c r="N592" s="261"/>
      <c r="O592" s="261"/>
      <c r="P592" s="261"/>
      <c r="Q592" s="261"/>
      <c r="R592" s="261"/>
      <c r="S592" s="261"/>
      <c r="T592" s="261"/>
      <c r="U592" s="261"/>
      <c r="V592" s="261"/>
      <c r="W592" s="261"/>
      <c r="X592" s="261"/>
      <c r="Y592" s="261"/>
      <c r="Z592" s="237" t="str">
        <f>BIN2HEX(RIGHT((LEFT(Z588,16)),4))</f>
        <v>F</v>
      </c>
    </row>
    <row r="593" spans="2:26" ht="13.5" thickBot="1">
      <c r="B593" s="264" t="s">
        <v>17</v>
      </c>
      <c r="C593" s="265" t="str">
        <f t="shared" ref="C593:H593" si="31">HEX2BIN(C592,C591)</f>
        <v>00000000</v>
      </c>
      <c r="D593" s="265" t="str">
        <f t="shared" si="31"/>
        <v>00011111</v>
      </c>
      <c r="E593" s="265" t="str">
        <f t="shared" si="31"/>
        <v>0</v>
      </c>
      <c r="F593" s="265" t="str">
        <f t="shared" si="31"/>
        <v>0001001</v>
      </c>
      <c r="G593" s="265" t="str">
        <f t="shared" si="31"/>
        <v>000</v>
      </c>
      <c r="H593" s="265" t="str">
        <f t="shared" si="31"/>
        <v>00101</v>
      </c>
      <c r="I593" s="261"/>
      <c r="J593" s="261"/>
      <c r="K593" s="261"/>
      <c r="L593" s="261"/>
      <c r="M593" s="261"/>
      <c r="N593" s="261"/>
      <c r="O593" s="261"/>
      <c r="P593" s="261"/>
      <c r="Q593" s="261"/>
      <c r="R593" s="261"/>
      <c r="S593" s="261"/>
      <c r="T593" s="261"/>
      <c r="U593" s="261"/>
      <c r="V593" s="261"/>
      <c r="W593" s="261"/>
      <c r="X593" s="261"/>
      <c r="Y593" s="261"/>
      <c r="Z593" s="237" t="str">
        <f>BIN2HEX(RIGHT((LEFT(Z588,20)),4))</f>
        <v>0</v>
      </c>
    </row>
    <row r="594" spans="2:26" ht="13.5" thickBot="1">
      <c r="B594" s="266" t="s">
        <v>18</v>
      </c>
      <c r="C594" s="267" t="str">
        <f>CONCATENATE("0x",Z589,Z590,Z591,Z592,Z593,Z594,Z595,Z596)</f>
        <v>0x001F0905</v>
      </c>
      <c r="Z594" s="237" t="str">
        <f>BIN2HEX(RIGHT((LEFT(Z588,24)),4))</f>
        <v>9</v>
      </c>
    </row>
    <row r="595" spans="2:26">
      <c r="Z595" s="237" t="str">
        <f>BIN2HEX(RIGHT((LEFT(Z588,28)),4))</f>
        <v>0</v>
      </c>
    </row>
    <row r="596" spans="2:26">
      <c r="Z596" s="237" t="str">
        <f>BIN2HEX(RIGHT((LEFT(Z588,33)),4))</f>
        <v>5</v>
      </c>
    </row>
    <row r="598" spans="2:26">
      <c r="Z598" s="248" t="s">
        <v>239</v>
      </c>
    </row>
    <row r="599" spans="2:26" ht="13.5" thickBot="1">
      <c r="Z599" s="237" t="str">
        <f>CONCATENATE(C604,D604,E604,F604,G604,H604,I604)</f>
        <v>00000000000000000000010100000101</v>
      </c>
    </row>
    <row r="600" spans="2:26" ht="13.5" thickBot="1">
      <c r="B600" s="245" t="s">
        <v>853</v>
      </c>
      <c r="C600" s="246"/>
      <c r="D600" s="246"/>
      <c r="E600" s="246"/>
      <c r="F600" s="246"/>
      <c r="G600" s="246"/>
      <c r="H600" s="246"/>
      <c r="I600" s="246"/>
      <c r="J600" s="276"/>
      <c r="K600" s="276"/>
      <c r="L600" s="248"/>
      <c r="M600" s="248"/>
      <c r="N600" s="248"/>
      <c r="O600" s="248"/>
      <c r="P600" s="248"/>
      <c r="Q600" s="248"/>
      <c r="R600" s="248"/>
      <c r="S600" s="248"/>
      <c r="T600" s="248"/>
      <c r="U600" s="248"/>
      <c r="V600" s="248"/>
      <c r="W600" s="248"/>
      <c r="X600" s="248"/>
      <c r="Y600" s="248"/>
      <c r="Z600" s="237" t="str">
        <f>BIN2HEX(RIGHT((LEFT(Z599,4)),4))</f>
        <v>0</v>
      </c>
    </row>
    <row r="601" spans="2:26" ht="13.5" thickTop="1">
      <c r="B601" s="249"/>
      <c r="C601" s="268" t="s">
        <v>240</v>
      </c>
      <c r="D601" s="251" t="s">
        <v>241</v>
      </c>
      <c r="E601" s="251" t="s">
        <v>245</v>
      </c>
      <c r="F601" s="251" t="s">
        <v>244</v>
      </c>
      <c r="G601" s="251" t="s">
        <v>242</v>
      </c>
      <c r="H601" s="251" t="s">
        <v>187</v>
      </c>
      <c r="I601" s="251" t="s">
        <v>243</v>
      </c>
      <c r="J601" s="271"/>
      <c r="K601" s="271"/>
      <c r="L601" s="272"/>
      <c r="M601" s="272"/>
      <c r="N601" s="272"/>
      <c r="O601" s="272"/>
      <c r="P601" s="272"/>
      <c r="Q601" s="272"/>
      <c r="R601" s="272"/>
      <c r="S601" s="272"/>
      <c r="T601" s="272"/>
      <c r="U601" s="272"/>
      <c r="V601" s="272"/>
      <c r="W601" s="272"/>
      <c r="X601" s="272"/>
      <c r="Y601" s="272"/>
      <c r="Z601" s="237" t="str">
        <f>BIN2HEX(RIGHT((LEFT(Z599,8)),4))</f>
        <v>0</v>
      </c>
    </row>
    <row r="602" spans="2:26">
      <c r="B602" s="255" t="s">
        <v>189</v>
      </c>
      <c r="C602" s="256">
        <v>1</v>
      </c>
      <c r="D602" s="257">
        <v>1</v>
      </c>
      <c r="E602" s="257">
        <v>6</v>
      </c>
      <c r="F602" s="257">
        <v>10</v>
      </c>
      <c r="G602" s="257">
        <v>6</v>
      </c>
      <c r="H602" s="257">
        <v>2</v>
      </c>
      <c r="I602" s="257">
        <v>6</v>
      </c>
      <c r="J602" s="274"/>
      <c r="K602" s="274"/>
      <c r="L602" s="272"/>
      <c r="M602" s="272"/>
      <c r="N602" s="272"/>
      <c r="O602" s="272"/>
      <c r="P602" s="272"/>
      <c r="Q602" s="272"/>
      <c r="R602" s="272"/>
      <c r="S602" s="272"/>
      <c r="T602" s="272"/>
      <c r="U602" s="272"/>
      <c r="V602" s="272"/>
      <c r="W602" s="272"/>
      <c r="X602" s="272"/>
      <c r="Y602" s="272"/>
      <c r="Z602" s="237" t="str">
        <f>BIN2HEX(RIGHT((LEFT(Z599,12)),4))</f>
        <v>0</v>
      </c>
    </row>
    <row r="603" spans="2:26">
      <c r="B603" s="262" t="s">
        <v>16</v>
      </c>
      <c r="C603" s="263">
        <v>0</v>
      </c>
      <c r="D603" s="259">
        <v>0</v>
      </c>
      <c r="E603" s="259">
        <v>0</v>
      </c>
      <c r="F603" s="259">
        <v>0</v>
      </c>
      <c r="G603" s="259">
        <v>5</v>
      </c>
      <c r="H603" s="259">
        <v>0</v>
      </c>
      <c r="I603" s="259">
        <v>5</v>
      </c>
      <c r="J603" s="261"/>
      <c r="K603" s="261"/>
      <c r="L603" s="261"/>
      <c r="M603" s="261"/>
      <c r="N603" s="261"/>
      <c r="O603" s="261"/>
      <c r="P603" s="261"/>
      <c r="Q603" s="261"/>
      <c r="R603" s="261"/>
      <c r="S603" s="261"/>
      <c r="T603" s="261"/>
      <c r="U603" s="261"/>
      <c r="V603" s="261"/>
      <c r="W603" s="261"/>
      <c r="X603" s="261"/>
      <c r="Y603" s="261"/>
      <c r="Z603" s="237" t="str">
        <f>BIN2HEX(RIGHT((LEFT(Z599,16)),4))</f>
        <v>0</v>
      </c>
    </row>
    <row r="604" spans="2:26" ht="13.5" thickBot="1">
      <c r="B604" s="264" t="s">
        <v>17</v>
      </c>
      <c r="C604" s="265" t="str">
        <f t="shared" ref="C604:I604" si="32">HEX2BIN(C603,C602)</f>
        <v>0</v>
      </c>
      <c r="D604" s="265" t="str">
        <f t="shared" si="32"/>
        <v>0</v>
      </c>
      <c r="E604" s="265" t="str">
        <f t="shared" si="32"/>
        <v>000000</v>
      </c>
      <c r="F604" s="265" t="str">
        <f t="shared" si="32"/>
        <v>0000000000</v>
      </c>
      <c r="G604" s="265" t="str">
        <f t="shared" si="32"/>
        <v>000101</v>
      </c>
      <c r="H604" s="265" t="str">
        <f t="shared" si="32"/>
        <v>00</v>
      </c>
      <c r="I604" s="265" t="str">
        <f t="shared" si="32"/>
        <v>000101</v>
      </c>
      <c r="J604" s="261"/>
      <c r="K604" s="261"/>
      <c r="L604" s="261"/>
      <c r="M604" s="261"/>
      <c r="N604" s="261"/>
      <c r="O604" s="261"/>
      <c r="P604" s="261"/>
      <c r="Q604" s="261"/>
      <c r="R604" s="261"/>
      <c r="S604" s="261"/>
      <c r="T604" s="261"/>
      <c r="U604" s="261"/>
      <c r="V604" s="261"/>
      <c r="W604" s="261"/>
      <c r="X604" s="261"/>
      <c r="Y604" s="261"/>
      <c r="Z604" s="237" t="str">
        <f>BIN2HEX(RIGHT((LEFT(Z599,20)),4))</f>
        <v>0</v>
      </c>
    </row>
    <row r="605" spans="2:26" ht="13.5" thickBot="1">
      <c r="B605" s="266" t="s">
        <v>18</v>
      </c>
      <c r="C605" s="267" t="str">
        <f>CONCATENATE("0x",Z600,Z601,Z602,Z603,Z604,Z605,Z606,Z607)</f>
        <v>0x00000505</v>
      </c>
      <c r="Z605" s="237" t="str">
        <f>BIN2HEX(RIGHT((LEFT(Z599,24)),4))</f>
        <v>5</v>
      </c>
    </row>
    <row r="606" spans="2:26">
      <c r="Z606" s="237" t="str">
        <f>BIN2HEX(RIGHT((LEFT(Z599,28)),4))</f>
        <v>0</v>
      </c>
    </row>
    <row r="607" spans="2:26">
      <c r="Z607" s="237" t="str">
        <f>BIN2HEX(RIGHT((LEFT(Z599,33)),4))</f>
        <v>5</v>
      </c>
    </row>
    <row r="609" spans="2:26">
      <c r="Z609" s="248" t="s">
        <v>248</v>
      </c>
    </row>
    <row r="610" spans="2:26" ht="13.5" thickBot="1">
      <c r="Z610" s="237" t="str">
        <f>CONCATENATE(C615,D615,E615,F615,G615,H615)</f>
        <v>01110100100000000000000000000000</v>
      </c>
    </row>
    <row r="611" spans="2:26" ht="13.5" thickBot="1">
      <c r="B611" s="245" t="s">
        <v>898</v>
      </c>
      <c r="C611" s="246"/>
      <c r="D611" s="246"/>
      <c r="E611" s="246"/>
      <c r="F611" s="246"/>
      <c r="G611" s="246"/>
      <c r="H611" s="246"/>
      <c r="I611" s="276"/>
      <c r="J611" s="276"/>
      <c r="K611" s="276"/>
      <c r="L611" s="248"/>
      <c r="M611" s="248"/>
      <c r="N611" s="248"/>
      <c r="O611" s="248"/>
      <c r="P611" s="248"/>
      <c r="Q611" s="248"/>
      <c r="R611" s="248"/>
      <c r="S611" s="248"/>
      <c r="T611" s="248"/>
      <c r="U611" s="248"/>
      <c r="V611" s="248"/>
      <c r="W611" s="248"/>
      <c r="X611" s="248"/>
      <c r="Y611" s="248"/>
      <c r="Z611" s="237" t="str">
        <f>BIN2HEX(RIGHT((LEFT(Z610,4)),4))</f>
        <v>7</v>
      </c>
    </row>
    <row r="612" spans="2:26" ht="13.5" thickTop="1">
      <c r="B612" s="249"/>
      <c r="C612" s="268" t="s">
        <v>87</v>
      </c>
      <c r="D612" s="251" t="s">
        <v>249</v>
      </c>
      <c r="E612" s="251" t="s">
        <v>250</v>
      </c>
      <c r="F612" s="251" t="s">
        <v>251</v>
      </c>
      <c r="G612" s="251" t="s">
        <v>252</v>
      </c>
      <c r="H612" s="251" t="s">
        <v>253</v>
      </c>
      <c r="I612" s="271"/>
      <c r="J612" s="271"/>
      <c r="K612" s="271"/>
      <c r="L612" s="272"/>
      <c r="M612" s="272"/>
      <c r="N612" s="272"/>
      <c r="O612" s="272"/>
      <c r="P612" s="272"/>
      <c r="Q612" s="272"/>
      <c r="R612" s="272"/>
      <c r="S612" s="272"/>
      <c r="T612" s="272"/>
      <c r="U612" s="272"/>
      <c r="V612" s="272"/>
      <c r="W612" s="272"/>
      <c r="X612" s="272"/>
      <c r="Y612" s="272"/>
      <c r="Z612" s="237" t="str">
        <f>BIN2HEX(RIGHT((LEFT(Z610,8)),4))</f>
        <v>4</v>
      </c>
    </row>
    <row r="613" spans="2:26">
      <c r="B613" s="255" t="s">
        <v>189</v>
      </c>
      <c r="C613" s="256">
        <v>1</v>
      </c>
      <c r="D613" s="257">
        <v>3</v>
      </c>
      <c r="E613" s="257">
        <v>3</v>
      </c>
      <c r="F613" s="257">
        <v>3</v>
      </c>
      <c r="G613" s="257">
        <v>11</v>
      </c>
      <c r="H613" s="257">
        <v>11</v>
      </c>
      <c r="I613" s="274"/>
      <c r="J613" s="274"/>
      <c r="K613" s="274"/>
      <c r="L613" s="272"/>
      <c r="M613" s="272"/>
      <c r="N613" s="272"/>
      <c r="O613" s="272"/>
      <c r="P613" s="272"/>
      <c r="Q613" s="272"/>
      <c r="R613" s="272"/>
      <c r="S613" s="272"/>
      <c r="T613" s="272"/>
      <c r="U613" s="272"/>
      <c r="V613" s="272"/>
      <c r="W613" s="272"/>
      <c r="X613" s="272"/>
      <c r="Y613" s="272"/>
      <c r="Z613" s="237" t="str">
        <f>BIN2HEX(RIGHT((LEFT(Z610,12)),4))</f>
        <v>8</v>
      </c>
    </row>
    <row r="614" spans="2:26">
      <c r="B614" s="262" t="s">
        <v>16</v>
      </c>
      <c r="C614" s="263">
        <v>0</v>
      </c>
      <c r="D614" s="259">
        <f>IF(Memory_Type="DDR3L",7,IF(Memory_Type="DDR4",IF(HEX2DEC(GCRx_DXREFSSELRANGE_DDR4)=1,7,0),IF(HEX2DEC(GCRx_DXREFSSELRANGE_LPDDR4)=1,7,0)))</f>
        <v>7</v>
      </c>
      <c r="E614" s="259">
        <f>IF(Memory_Type="DDR3L",0,IF(Memory_Type="DDR4",2,IF(Memory_Type="LPDDR4",4,"ERROR")))</f>
        <v>2</v>
      </c>
      <c r="F614" s="259">
        <f>IF(Memory_Type="DDR3L",0,IF(Memory_Type="DDR4",2,IF(Memory_Type="LPDDR4",4,"ERROR")))</f>
        <v>2</v>
      </c>
      <c r="G614" s="259">
        <v>0</v>
      </c>
      <c r="H614" s="259">
        <v>0</v>
      </c>
      <c r="I614" s="261"/>
      <c r="J614" s="261"/>
      <c r="K614" s="261"/>
      <c r="L614" s="261"/>
      <c r="M614" s="261"/>
      <c r="N614" s="261"/>
      <c r="O614" s="261"/>
      <c r="P614" s="261"/>
      <c r="Q614" s="261"/>
      <c r="R614" s="261"/>
      <c r="S614" s="261"/>
      <c r="T614" s="261"/>
      <c r="U614" s="261"/>
      <c r="V614" s="261"/>
      <c r="W614" s="261"/>
      <c r="X614" s="261"/>
      <c r="Y614" s="261"/>
      <c r="Z614" s="237" t="str">
        <f>BIN2HEX(RIGHT((LEFT(Z610,16)),4))</f>
        <v>0</v>
      </c>
    </row>
    <row r="615" spans="2:26" ht="13.5" thickBot="1">
      <c r="B615" s="264" t="s">
        <v>17</v>
      </c>
      <c r="C615" s="265" t="str">
        <f>HEX2BIN(C614,C613)</f>
        <v>0</v>
      </c>
      <c r="D615" s="265" t="str">
        <f>HEX2BIN(D614,D613)</f>
        <v>111</v>
      </c>
      <c r="E615" s="265" t="str">
        <f>HEX2BIN(E614,E613)</f>
        <v>010</v>
      </c>
      <c r="F615" s="265" t="str">
        <f>HEX2BIN(F614,F613)</f>
        <v>010</v>
      </c>
      <c r="G615" s="277" t="s">
        <v>254</v>
      </c>
      <c r="H615" s="277" t="s">
        <v>254</v>
      </c>
      <c r="I615" s="261"/>
      <c r="J615" s="261"/>
      <c r="K615" s="261"/>
      <c r="L615" s="261"/>
      <c r="M615" s="261"/>
      <c r="N615" s="261"/>
      <c r="O615" s="261"/>
      <c r="P615" s="261"/>
      <c r="Q615" s="261"/>
      <c r="R615" s="261"/>
      <c r="S615" s="261"/>
      <c r="T615" s="261"/>
      <c r="U615" s="261"/>
      <c r="V615" s="261"/>
      <c r="W615" s="261"/>
      <c r="X615" s="261"/>
      <c r="Y615" s="261"/>
      <c r="Z615" s="237" t="str">
        <f>BIN2HEX(RIGHT((LEFT(Z610,20)),4))</f>
        <v>0</v>
      </c>
    </row>
    <row r="616" spans="2:26" ht="13.5" thickBot="1">
      <c r="B616" s="266" t="s">
        <v>18</v>
      </c>
      <c r="C616" s="267" t="str">
        <f>CONCATENATE("0x",Z611,Z612,Z613,Z614,Z615,Z616,Z617,Z618)</f>
        <v>0x74800000</v>
      </c>
      <c r="Z616" s="237" t="str">
        <f>BIN2HEX(RIGHT((LEFT(Z610,24)),4))</f>
        <v>0</v>
      </c>
    </row>
    <row r="617" spans="2:26">
      <c r="Z617" s="237" t="str">
        <f>BIN2HEX(RIGHT((LEFT(Z610,28)),4))</f>
        <v>0</v>
      </c>
    </row>
    <row r="618" spans="2:26">
      <c r="Z618" s="237" t="str">
        <f>BIN2HEX(RIGHT((LEFT(Z610,33)),4))</f>
        <v>0</v>
      </c>
    </row>
    <row r="620" spans="2:26">
      <c r="Z620" s="248" t="s">
        <v>1129</v>
      </c>
    </row>
    <row r="621" spans="2:26" ht="13.5" thickBot="1">
      <c r="Z621" s="237" t="str">
        <f>CONCATENATE(C626,D626,E626,F626,G626,H626,I626,J626,K626,L626)</f>
        <v>00000000000000000001101000000100</v>
      </c>
    </row>
    <row r="622" spans="2:26" ht="13.5" thickBot="1">
      <c r="B622" s="245" t="s">
        <v>1130</v>
      </c>
      <c r="C622" s="246"/>
      <c r="D622" s="246"/>
      <c r="E622" s="246"/>
      <c r="F622" s="246"/>
      <c r="G622" s="246"/>
      <c r="H622" s="246"/>
      <c r="I622" s="246"/>
      <c r="J622" s="246"/>
      <c r="K622" s="246"/>
      <c r="L622" s="246"/>
      <c r="M622" s="276"/>
      <c r="N622" s="248"/>
      <c r="O622" s="248"/>
      <c r="P622" s="248"/>
      <c r="Q622" s="248"/>
      <c r="R622" s="248"/>
      <c r="S622" s="248"/>
      <c r="T622" s="248"/>
      <c r="U622" s="248"/>
      <c r="V622" s="248"/>
      <c r="W622" s="248"/>
      <c r="X622" s="248"/>
      <c r="Y622" s="248"/>
      <c r="Z622" s="237" t="str">
        <f>BIN2HEX(RIGHT((LEFT(Z621,4)),4))</f>
        <v>0</v>
      </c>
    </row>
    <row r="623" spans="2:26" ht="13.5" thickTop="1">
      <c r="B623" s="249"/>
      <c r="C623" s="268" t="s">
        <v>255</v>
      </c>
      <c r="D623" s="251" t="s">
        <v>256</v>
      </c>
      <c r="E623" s="251" t="s">
        <v>1138</v>
      </c>
      <c r="F623" s="251" t="s">
        <v>258</v>
      </c>
      <c r="G623" s="251" t="s">
        <v>259</v>
      </c>
      <c r="H623" s="251" t="s">
        <v>260</v>
      </c>
      <c r="I623" s="251" t="s">
        <v>261</v>
      </c>
      <c r="J623" s="251" t="s">
        <v>262</v>
      </c>
      <c r="K623" s="251" t="s">
        <v>1137</v>
      </c>
      <c r="L623" s="251" t="s">
        <v>263</v>
      </c>
      <c r="M623" s="271"/>
      <c r="N623" s="272"/>
      <c r="O623" s="272"/>
      <c r="P623" s="272"/>
      <c r="Q623" s="272"/>
      <c r="R623" s="272"/>
      <c r="S623" s="272"/>
      <c r="T623" s="272"/>
      <c r="U623" s="272"/>
      <c r="V623" s="272"/>
      <c r="W623" s="272"/>
      <c r="X623" s="272"/>
      <c r="Y623" s="272"/>
      <c r="Z623" s="237" t="str">
        <f>BIN2HEX(RIGHT((LEFT(Z621,8)),4))</f>
        <v>0</v>
      </c>
    </row>
    <row r="624" spans="2:26">
      <c r="B624" s="255" t="s">
        <v>189</v>
      </c>
      <c r="C624" s="256">
        <v>16</v>
      </c>
      <c r="D624" s="257">
        <v>3</v>
      </c>
      <c r="E624" s="257">
        <v>1</v>
      </c>
      <c r="F624" s="257">
        <v>3</v>
      </c>
      <c r="G624" s="257">
        <v>1</v>
      </c>
      <c r="H624" s="257">
        <v>1</v>
      </c>
      <c r="I624" s="257">
        <v>3</v>
      </c>
      <c r="J624" s="257">
        <v>1</v>
      </c>
      <c r="K624" s="257">
        <v>1</v>
      </c>
      <c r="L624" s="257">
        <v>2</v>
      </c>
      <c r="M624" s="274"/>
      <c r="N624" s="272"/>
      <c r="O624" s="272"/>
      <c r="P624" s="272"/>
      <c r="Q624" s="272"/>
      <c r="R624" s="272"/>
      <c r="S624" s="272"/>
      <c r="T624" s="272"/>
      <c r="U624" s="272"/>
      <c r="V624" s="272"/>
      <c r="W624" s="272"/>
      <c r="X624" s="272"/>
      <c r="Y624" s="272"/>
      <c r="Z624" s="237" t="str">
        <f>BIN2HEX(RIGHT((LEFT(Z621,12)),4))</f>
        <v>0</v>
      </c>
    </row>
    <row r="625" spans="2:26">
      <c r="B625" s="262" t="s">
        <v>16</v>
      </c>
      <c r="C625" s="263">
        <v>0</v>
      </c>
      <c r="D625" s="275">
        <v>0</v>
      </c>
      <c r="E625" s="259">
        <v>1</v>
      </c>
      <c r="F625" s="275">
        <f>INDEX(B630:C637,MATCH(CEILING(tWR/tCK,1),B630:B637,0),2)</f>
        <v>5</v>
      </c>
      <c r="G625" s="259">
        <v>0</v>
      </c>
      <c r="H625" s="259">
        <v>0</v>
      </c>
      <c r="I625" s="259">
        <f>INDEX(E630:G639,MATCH(CL,E630:E639,0),3)</f>
        <v>0</v>
      </c>
      <c r="J625" s="259">
        <v>0</v>
      </c>
      <c r="K625" s="259">
        <f>INDEX(E630:F639,MATCH(CL,E630:E639,0),2)</f>
        <v>1</v>
      </c>
      <c r="L625" s="259">
        <f>IF(BL=8,0,IF(BL=4,2,"ERROR"))</f>
        <v>0</v>
      </c>
      <c r="M625" s="261"/>
      <c r="N625" s="261"/>
      <c r="O625" s="261"/>
      <c r="P625" s="261"/>
      <c r="Q625" s="261"/>
      <c r="R625" s="261"/>
      <c r="S625" s="261"/>
      <c r="T625" s="261"/>
      <c r="U625" s="261"/>
      <c r="V625" s="261"/>
      <c r="W625" s="261"/>
      <c r="X625" s="261"/>
      <c r="Y625" s="261"/>
      <c r="Z625" s="237" t="str">
        <f>BIN2HEX(RIGHT((LEFT(Z621,16)),4))</f>
        <v>0</v>
      </c>
    </row>
    <row r="626" spans="2:26" ht="13.5" thickBot="1">
      <c r="B626" s="264" t="s">
        <v>17</v>
      </c>
      <c r="C626" s="277" t="s">
        <v>257</v>
      </c>
      <c r="D626" s="265" t="str">
        <f>HEX2BIN(D625,D624)</f>
        <v>000</v>
      </c>
      <c r="E626" s="265" t="str">
        <f>HEX2BIN(E625,E624)</f>
        <v>1</v>
      </c>
      <c r="F626" s="265" t="str">
        <f>HEX2BIN(F625,F624)</f>
        <v>101</v>
      </c>
      <c r="G626" s="265" t="str">
        <f t="shared" ref="G626:L626" si="33">HEX2BIN(G625,G624)</f>
        <v>0</v>
      </c>
      <c r="H626" s="265" t="str">
        <f t="shared" si="33"/>
        <v>0</v>
      </c>
      <c r="I626" s="265" t="str">
        <f t="shared" si="33"/>
        <v>000</v>
      </c>
      <c r="J626" s="265" t="str">
        <f t="shared" si="33"/>
        <v>0</v>
      </c>
      <c r="K626" s="265" t="str">
        <f t="shared" si="33"/>
        <v>1</v>
      </c>
      <c r="L626" s="265" t="str">
        <f t="shared" si="33"/>
        <v>00</v>
      </c>
      <c r="M626" s="261"/>
      <c r="N626" s="261"/>
      <c r="O626" s="261"/>
      <c r="P626" s="261"/>
      <c r="Q626" s="261"/>
      <c r="R626" s="261"/>
      <c r="S626" s="261"/>
      <c r="T626" s="261"/>
      <c r="U626" s="261"/>
      <c r="V626" s="261"/>
      <c r="W626" s="261"/>
      <c r="X626" s="261"/>
      <c r="Y626" s="261"/>
      <c r="Z626" s="237" t="str">
        <f>BIN2HEX(RIGHT((LEFT(Z621,20)),4))</f>
        <v>1</v>
      </c>
    </row>
    <row r="627" spans="2:26" ht="13.5" thickBot="1">
      <c r="B627" s="266" t="s">
        <v>18</v>
      </c>
      <c r="C627" s="267" t="str">
        <f>CONCATENATE("0x",Z622,Z623,Z624,Z625,Z626,Z627,Z628,Z629)</f>
        <v>0x00001A04</v>
      </c>
      <c r="Z627" s="237" t="str">
        <f>BIN2HEX(RIGHT((LEFT(Z621,24)),4))</f>
        <v>A</v>
      </c>
    </row>
    <row r="628" spans="2:26">
      <c r="Z628" s="237" t="str">
        <f>BIN2HEX(RIGHT((LEFT(Z621,28)),4))</f>
        <v>0</v>
      </c>
    </row>
    <row r="629" spans="2:26">
      <c r="B629" s="278" t="s">
        <v>268</v>
      </c>
      <c r="C629" s="278" t="s">
        <v>258</v>
      </c>
      <c r="E629" s="278" t="s">
        <v>269</v>
      </c>
      <c r="F629" s="278" t="s">
        <v>1137</v>
      </c>
      <c r="G629" s="278" t="s">
        <v>261</v>
      </c>
      <c r="J629" s="241"/>
      <c r="K629" s="237"/>
      <c r="Z629" s="237" t="str">
        <f>BIN2HEX(RIGHT((LEFT(Z621,33)),4))</f>
        <v>4</v>
      </c>
    </row>
    <row r="630" spans="2:26">
      <c r="B630" s="278">
        <v>16</v>
      </c>
      <c r="C630" s="278">
        <v>0</v>
      </c>
      <c r="E630" s="278">
        <v>5</v>
      </c>
      <c r="F630" s="278">
        <v>0</v>
      </c>
      <c r="G630" s="278">
        <v>1</v>
      </c>
      <c r="J630" s="241"/>
      <c r="K630" s="237"/>
    </row>
    <row r="631" spans="2:26">
      <c r="B631" s="278">
        <v>5</v>
      </c>
      <c r="C631" s="278">
        <v>1</v>
      </c>
      <c r="E631" s="278">
        <v>6</v>
      </c>
      <c r="F631" s="278">
        <v>0</v>
      </c>
      <c r="G631" s="278">
        <v>2</v>
      </c>
      <c r="J631" s="241"/>
      <c r="K631" s="237"/>
    </row>
    <row r="632" spans="2:26">
      <c r="B632" s="278">
        <v>6</v>
      </c>
      <c r="C632" s="278">
        <v>2</v>
      </c>
      <c r="E632" s="278">
        <v>7</v>
      </c>
      <c r="F632" s="278">
        <v>0</v>
      </c>
      <c r="G632" s="278">
        <v>3</v>
      </c>
      <c r="J632" s="241"/>
      <c r="K632" s="237"/>
    </row>
    <row r="633" spans="2:26">
      <c r="B633" s="278">
        <v>7</v>
      </c>
      <c r="C633" s="278">
        <v>3</v>
      </c>
      <c r="E633" s="278">
        <v>8</v>
      </c>
      <c r="F633" s="278">
        <v>0</v>
      </c>
      <c r="G633" s="278">
        <v>4</v>
      </c>
      <c r="J633" s="241"/>
      <c r="K633" s="237"/>
    </row>
    <row r="634" spans="2:26">
      <c r="B634" s="278">
        <v>8</v>
      </c>
      <c r="C634" s="278">
        <v>4</v>
      </c>
      <c r="E634" s="278">
        <v>9</v>
      </c>
      <c r="F634" s="278">
        <v>0</v>
      </c>
      <c r="G634" s="278">
        <v>5</v>
      </c>
      <c r="J634" s="241"/>
      <c r="K634" s="237"/>
    </row>
    <row r="635" spans="2:26">
      <c r="B635" s="278">
        <v>10</v>
      </c>
      <c r="C635" s="278">
        <v>5</v>
      </c>
      <c r="E635" s="278">
        <v>10</v>
      </c>
      <c r="F635" s="278">
        <v>0</v>
      </c>
      <c r="G635" s="278">
        <v>6</v>
      </c>
      <c r="J635" s="241"/>
      <c r="K635" s="237"/>
    </row>
    <row r="636" spans="2:26">
      <c r="B636" s="278">
        <v>12</v>
      </c>
      <c r="C636" s="278">
        <v>6</v>
      </c>
      <c r="E636" s="278">
        <v>11</v>
      </c>
      <c r="F636" s="278">
        <v>0</v>
      </c>
      <c r="G636" s="278">
        <v>7</v>
      </c>
      <c r="J636" s="241"/>
      <c r="K636" s="237"/>
    </row>
    <row r="637" spans="2:26">
      <c r="B637" s="278">
        <v>14</v>
      </c>
      <c r="C637" s="278">
        <v>7</v>
      </c>
      <c r="E637" s="278">
        <v>12</v>
      </c>
      <c r="F637" s="278">
        <v>1</v>
      </c>
      <c r="G637" s="278">
        <v>0</v>
      </c>
      <c r="J637" s="241"/>
      <c r="K637" s="237"/>
    </row>
    <row r="638" spans="2:26">
      <c r="B638" s="278"/>
      <c r="C638" s="278"/>
      <c r="E638" s="278">
        <v>13</v>
      </c>
      <c r="F638" s="278">
        <v>1</v>
      </c>
      <c r="G638" s="278">
        <v>1</v>
      </c>
      <c r="J638" s="241"/>
      <c r="K638" s="237"/>
    </row>
    <row r="639" spans="2:26">
      <c r="B639" s="278"/>
      <c r="C639" s="278"/>
      <c r="E639" s="278">
        <v>14</v>
      </c>
      <c r="F639" s="278">
        <v>1</v>
      </c>
      <c r="G639" s="278">
        <v>2</v>
      </c>
      <c r="J639" s="241"/>
      <c r="K639" s="237"/>
    </row>
    <row r="640" spans="2:26">
      <c r="E640" s="278"/>
      <c r="F640" s="278"/>
      <c r="G640" s="278"/>
      <c r="H640" s="278"/>
    </row>
    <row r="641" spans="5:26">
      <c r="E641" s="278"/>
      <c r="F641" s="278"/>
      <c r="G641" s="278"/>
      <c r="H641" s="278"/>
    </row>
    <row r="642" spans="5:26">
      <c r="E642" s="278"/>
      <c r="F642" s="278"/>
      <c r="G642" s="278"/>
      <c r="H642" s="278"/>
    </row>
    <row r="643" spans="5:26">
      <c r="E643" s="278"/>
      <c r="F643" s="278"/>
      <c r="G643" s="278"/>
      <c r="H643" s="278"/>
    </row>
    <row r="644" spans="5:26">
      <c r="E644" s="278"/>
      <c r="F644" s="278"/>
      <c r="G644" s="278"/>
      <c r="H644" s="278"/>
    </row>
    <row r="645" spans="5:26">
      <c r="E645" s="278"/>
      <c r="F645" s="278"/>
      <c r="G645" s="278"/>
      <c r="H645" s="278"/>
    </row>
    <row r="646" spans="5:26">
      <c r="E646" s="278"/>
      <c r="F646" s="278"/>
      <c r="G646" s="278"/>
      <c r="H646" s="278"/>
    </row>
    <row r="647" spans="5:26">
      <c r="E647" s="278"/>
      <c r="F647" s="278"/>
      <c r="G647" s="278"/>
      <c r="H647" s="278"/>
    </row>
    <row r="648" spans="5:26">
      <c r="E648" s="278"/>
      <c r="F648" s="278"/>
      <c r="G648" s="278"/>
      <c r="H648" s="278"/>
    </row>
    <row r="649" spans="5:26">
      <c r="E649" s="278"/>
      <c r="F649" s="278"/>
      <c r="G649" s="278"/>
      <c r="H649" s="278"/>
    </row>
    <row r="650" spans="5:26">
      <c r="E650" s="278"/>
      <c r="F650" s="278"/>
      <c r="G650" s="278"/>
      <c r="H650" s="278"/>
    </row>
    <row r="651" spans="5:26">
      <c r="E651" s="278"/>
      <c r="F651" s="278"/>
      <c r="G651" s="278"/>
      <c r="H651" s="278"/>
    </row>
    <row r="652" spans="5:26">
      <c r="E652" s="278"/>
      <c r="F652" s="278"/>
      <c r="G652" s="278"/>
      <c r="H652" s="278"/>
    </row>
    <row r="653" spans="5:26">
      <c r="E653" s="278"/>
      <c r="F653" s="278"/>
      <c r="G653" s="278"/>
      <c r="H653" s="278"/>
    </row>
    <row r="655" spans="5:26">
      <c r="Z655" s="248" t="s">
        <v>1131</v>
      </c>
    </row>
    <row r="656" spans="5:26" ht="13.5" thickBot="1">
      <c r="Z656" s="237" t="str">
        <f>CONCATENATE(C661,D661,E661,F661,G661,H661,I661,J661,K661,L661,M661,N661,O661)</f>
        <v>00000000000000000000001000000101</v>
      </c>
    </row>
    <row r="657" spans="2:26" ht="13.5" thickBot="1">
      <c r="B657" s="245" t="s">
        <v>1132</v>
      </c>
      <c r="C657" s="246"/>
      <c r="D657" s="246"/>
      <c r="E657" s="246"/>
      <c r="F657" s="246"/>
      <c r="G657" s="246"/>
      <c r="H657" s="246"/>
      <c r="I657" s="246"/>
      <c r="J657" s="246"/>
      <c r="K657" s="246"/>
      <c r="L657" s="246"/>
      <c r="M657" s="246"/>
      <c r="N657" s="246" t="s">
        <v>734</v>
      </c>
      <c r="O657" s="246"/>
      <c r="P657" s="276"/>
      <c r="Q657" s="248"/>
      <c r="R657" s="248"/>
      <c r="S657" s="248"/>
      <c r="T657" s="248"/>
      <c r="U657" s="248"/>
      <c r="V657" s="248"/>
      <c r="W657" s="248"/>
      <c r="X657" s="248"/>
      <c r="Y657" s="248"/>
      <c r="Z657" s="237" t="str">
        <f>BIN2HEX(RIGHT((LEFT(Z656,4)),4))</f>
        <v>0</v>
      </c>
    </row>
    <row r="658" spans="2:26" ht="13.5" thickTop="1">
      <c r="B658" s="249"/>
      <c r="C658" s="268" t="s">
        <v>422</v>
      </c>
      <c r="D658" s="251" t="s">
        <v>272</v>
      </c>
      <c r="E658" s="251" t="s">
        <v>273</v>
      </c>
      <c r="F658" s="251" t="s">
        <v>1145</v>
      </c>
      <c r="G658" s="251" t="s">
        <v>1144</v>
      </c>
      <c r="H658" s="251" t="s">
        <v>1143</v>
      </c>
      <c r="I658" s="251" t="s">
        <v>274</v>
      </c>
      <c r="J658" s="251" t="s">
        <v>1142</v>
      </c>
      <c r="K658" s="251" t="s">
        <v>1141</v>
      </c>
      <c r="L658" s="251" t="s">
        <v>276</v>
      </c>
      <c r="M658" s="251" t="s">
        <v>1140</v>
      </c>
      <c r="N658" s="251" t="s">
        <v>1139</v>
      </c>
      <c r="O658" s="251" t="s">
        <v>278</v>
      </c>
      <c r="P658" s="271"/>
      <c r="Q658" s="272"/>
      <c r="R658" s="272"/>
      <c r="S658" s="272"/>
      <c r="T658" s="272"/>
      <c r="U658" s="272"/>
      <c r="V658" s="272"/>
      <c r="W658" s="272"/>
      <c r="X658" s="272"/>
      <c r="Y658" s="272"/>
      <c r="Z658" s="237" t="str">
        <f>BIN2HEX(RIGHT((LEFT(Z656,8)),4))</f>
        <v>0</v>
      </c>
    </row>
    <row r="659" spans="2:26">
      <c r="B659" s="255" t="s">
        <v>189</v>
      </c>
      <c r="C659" s="256">
        <v>19</v>
      </c>
      <c r="D659" s="257">
        <v>1</v>
      </c>
      <c r="E659" s="257">
        <v>1</v>
      </c>
      <c r="F659" s="257">
        <v>1</v>
      </c>
      <c r="G659" s="257">
        <v>1</v>
      </c>
      <c r="H659" s="257">
        <v>1</v>
      </c>
      <c r="I659" s="257">
        <v>1</v>
      </c>
      <c r="J659" s="257">
        <v>1</v>
      </c>
      <c r="K659" s="257">
        <v>1</v>
      </c>
      <c r="L659" s="257">
        <v>2</v>
      </c>
      <c r="M659" s="257">
        <v>1</v>
      </c>
      <c r="N659" s="257">
        <v>1</v>
      </c>
      <c r="O659" s="257">
        <v>1</v>
      </c>
      <c r="P659" s="274"/>
      <c r="Q659" s="272"/>
      <c r="R659" s="272"/>
      <c r="S659" s="272"/>
      <c r="T659" s="272"/>
      <c r="U659" s="272"/>
      <c r="V659" s="272"/>
      <c r="W659" s="272"/>
      <c r="X659" s="272"/>
      <c r="Y659" s="272"/>
      <c r="Z659" s="237" t="str">
        <f>BIN2HEX(RIGHT((LEFT(Z656,12)),4))</f>
        <v>0</v>
      </c>
    </row>
    <row r="660" spans="2:26">
      <c r="B660" s="262" t="s">
        <v>16</v>
      </c>
      <c r="C660" s="263">
        <v>0</v>
      </c>
      <c r="D660" s="259">
        <v>0</v>
      </c>
      <c r="E660" s="259">
        <v>0</v>
      </c>
      <c r="F660" s="259">
        <v>0</v>
      </c>
      <c r="G660" s="259">
        <f>INDEX(J665:M670,MATCH(DRAM_Rtt_register,J665:J670,0),2)</f>
        <v>1</v>
      </c>
      <c r="H660" s="259">
        <v>0</v>
      </c>
      <c r="I660" s="259">
        <v>0</v>
      </c>
      <c r="J660" s="259">
        <f>INDEX(J665:M670,MATCH(DRAM_Rtt_register,J665:J670,0),3)</f>
        <v>0</v>
      </c>
      <c r="K660" s="259">
        <v>0</v>
      </c>
      <c r="L660" s="259">
        <v>0</v>
      </c>
      <c r="M660" s="259">
        <f>INDEX(J665:M670,MATCH(DRAM_Rtt_register,J665:J670,0),4)</f>
        <v>1</v>
      </c>
      <c r="N660" s="259" t="str">
        <f>DEC2HEX(DRAM_Ron_register)</f>
        <v>0</v>
      </c>
      <c r="O660" s="259">
        <f>IF(OR(Memory_Type="DDR4",Memory_Type="LPDDR4"),1,0)</f>
        <v>1</v>
      </c>
      <c r="P660" s="261"/>
      <c r="Q660" s="261"/>
      <c r="R660" s="261"/>
      <c r="S660" s="261"/>
      <c r="T660" s="261"/>
      <c r="U660" s="261"/>
      <c r="V660" s="261"/>
      <c r="W660" s="261"/>
      <c r="X660" s="261"/>
      <c r="Y660" s="261"/>
      <c r="Z660" s="237" t="str">
        <f>BIN2HEX(RIGHT((LEFT(Z656,16)),4))</f>
        <v>0</v>
      </c>
    </row>
    <row r="661" spans="2:26" ht="13.5" thickBot="1">
      <c r="B661" s="264" t="s">
        <v>17</v>
      </c>
      <c r="C661" s="277" t="s">
        <v>431</v>
      </c>
      <c r="D661" s="265" t="str">
        <f t="shared" ref="D661:J661" si="34">HEX2BIN(D660,D659)</f>
        <v>0</v>
      </c>
      <c r="E661" s="265" t="str">
        <f t="shared" si="34"/>
        <v>0</v>
      </c>
      <c r="F661" s="265" t="str">
        <f t="shared" si="34"/>
        <v>0</v>
      </c>
      <c r="G661" s="265" t="str">
        <f t="shared" si="34"/>
        <v>1</v>
      </c>
      <c r="H661" s="265" t="str">
        <f t="shared" si="34"/>
        <v>0</v>
      </c>
      <c r="I661" s="265" t="str">
        <f t="shared" si="34"/>
        <v>0</v>
      </c>
      <c r="J661" s="265" t="str">
        <f t="shared" si="34"/>
        <v>0</v>
      </c>
      <c r="K661" s="265" t="str">
        <f>HEX2BIN(K660,K659)</f>
        <v>0</v>
      </c>
      <c r="L661" s="265" t="str">
        <f>HEX2BIN(L660,L659)</f>
        <v>00</v>
      </c>
      <c r="M661" s="265" t="str">
        <f>HEX2BIN(M660,M659)</f>
        <v>1</v>
      </c>
      <c r="N661" s="265" t="str">
        <f>HEX2BIN(N660,N659)</f>
        <v>0</v>
      </c>
      <c r="O661" s="265" t="str">
        <f>HEX2BIN(O660,O659)</f>
        <v>1</v>
      </c>
      <c r="P661" s="261"/>
      <c r="Q661" s="261"/>
      <c r="R661" s="261"/>
      <c r="S661" s="261"/>
      <c r="T661" s="261"/>
      <c r="U661" s="261"/>
      <c r="V661" s="261"/>
      <c r="W661" s="261"/>
      <c r="X661" s="261"/>
      <c r="Y661" s="261"/>
      <c r="Z661" s="237" t="str">
        <f>BIN2HEX(RIGHT((LEFT(Z656,20)),4))</f>
        <v>0</v>
      </c>
    </row>
    <row r="662" spans="2:26" ht="13.5" thickBot="1">
      <c r="B662" s="266" t="s">
        <v>18</v>
      </c>
      <c r="C662" s="267" t="str">
        <f>CONCATENATE("0x",Z657,Z658,Z659,Z660,Z661,Z662,Z663,Z664)</f>
        <v>0x00000205</v>
      </c>
      <c r="Z662" s="237" t="str">
        <f>BIN2HEX(RIGHT((LEFT(Z656,24)),4))</f>
        <v>2</v>
      </c>
    </row>
    <row r="663" spans="2:26">
      <c r="Z663" s="237" t="str">
        <f>BIN2HEX(RIGHT((LEFT(Z656,28)),4))</f>
        <v>0</v>
      </c>
    </row>
    <row r="664" spans="2:26">
      <c r="J664" s="278" t="s">
        <v>1147</v>
      </c>
      <c r="K664" s="278" t="s">
        <v>1150</v>
      </c>
      <c r="L664" s="278" t="s">
        <v>1148</v>
      </c>
      <c r="M664" s="278" t="s">
        <v>1149</v>
      </c>
      <c r="Z664" s="237" t="str">
        <f>BIN2HEX(RIGHT((LEFT(Z656,33)),4))</f>
        <v>5</v>
      </c>
    </row>
    <row r="665" spans="2:26">
      <c r="J665" s="278">
        <v>0</v>
      </c>
      <c r="K665" s="278">
        <v>0</v>
      </c>
      <c r="L665" s="278">
        <v>0</v>
      </c>
      <c r="M665" s="278">
        <v>0</v>
      </c>
    </row>
    <row r="666" spans="2:26">
      <c r="J666" s="278">
        <v>1</v>
      </c>
      <c r="K666" s="278">
        <v>0</v>
      </c>
      <c r="L666" s="278">
        <v>0</v>
      </c>
      <c r="M666" s="278">
        <v>1</v>
      </c>
    </row>
    <row r="667" spans="2:26">
      <c r="J667" s="278">
        <v>2</v>
      </c>
      <c r="K667" s="278">
        <v>0</v>
      </c>
      <c r="L667" s="278">
        <v>1</v>
      </c>
      <c r="M667" s="278">
        <v>0</v>
      </c>
    </row>
    <row r="668" spans="2:26">
      <c r="J668" s="278">
        <v>3</v>
      </c>
      <c r="K668" s="278">
        <v>0</v>
      </c>
      <c r="L668" s="278">
        <v>1</v>
      </c>
      <c r="M668" s="278">
        <v>1</v>
      </c>
    </row>
    <row r="669" spans="2:26">
      <c r="J669" s="278">
        <v>4</v>
      </c>
      <c r="K669" s="278">
        <v>1</v>
      </c>
      <c r="L669" s="278">
        <v>0</v>
      </c>
      <c r="M669" s="278">
        <v>0</v>
      </c>
    </row>
    <row r="670" spans="2:26">
      <c r="J670" s="278">
        <v>5</v>
      </c>
      <c r="K670" s="278">
        <v>1</v>
      </c>
      <c r="L670" s="278">
        <v>0</v>
      </c>
      <c r="M670" s="278">
        <v>1</v>
      </c>
    </row>
    <row r="671" spans="2:26">
      <c r="J671" s="278"/>
      <c r="K671" s="278"/>
      <c r="L671" s="278"/>
      <c r="M671" s="278"/>
    </row>
    <row r="672" spans="2:26">
      <c r="J672" s="278"/>
      <c r="K672" s="278"/>
      <c r="L672" s="278"/>
      <c r="M672" s="278"/>
    </row>
    <row r="673" spans="2:26">
      <c r="J673" s="278"/>
      <c r="K673" s="278"/>
      <c r="L673" s="278"/>
      <c r="M673" s="278"/>
    </row>
    <row r="679" spans="2:26">
      <c r="Z679" s="248" t="s">
        <v>1133</v>
      </c>
    </row>
    <row r="680" spans="2:26" ht="13.5" thickBot="1">
      <c r="Z680" s="237" t="str">
        <f>CONCATENATE(C685,D685,E685,F685,G685,H685,I685)</f>
        <v>00000000000000000000000000010000</v>
      </c>
    </row>
    <row r="681" spans="2:26" ht="13.5" thickBot="1">
      <c r="B681" s="245" t="s">
        <v>1134</v>
      </c>
      <c r="C681" s="246"/>
      <c r="D681" s="246"/>
      <c r="E681" s="246"/>
      <c r="F681" s="246"/>
      <c r="G681" s="246"/>
      <c r="H681" s="246"/>
      <c r="I681" s="246"/>
      <c r="J681" s="276"/>
      <c r="K681" s="276"/>
      <c r="L681" s="248"/>
      <c r="M681" s="248"/>
      <c r="N681" s="248"/>
      <c r="O681" s="248"/>
      <c r="P681" s="248"/>
      <c r="Q681" s="248"/>
      <c r="R681" s="248"/>
      <c r="S681" s="248"/>
      <c r="T681" s="248"/>
      <c r="U681" s="248"/>
      <c r="V681" s="248"/>
      <c r="W681" s="248"/>
      <c r="X681" s="248"/>
      <c r="Y681" s="248"/>
      <c r="Z681" s="237" t="str">
        <f>BIN2HEX(RIGHT((LEFT(Z680,4)),4))</f>
        <v>0</v>
      </c>
    </row>
    <row r="682" spans="2:26" ht="13.5" thickTop="1">
      <c r="B682" s="249"/>
      <c r="C682" s="251" t="s">
        <v>1155</v>
      </c>
      <c r="D682" s="251" t="s">
        <v>1154</v>
      </c>
      <c r="E682" s="251" t="s">
        <v>1143</v>
      </c>
      <c r="F682" s="251" t="s">
        <v>1153</v>
      </c>
      <c r="G682" s="251" t="s">
        <v>1152</v>
      </c>
      <c r="H682" s="251" t="s">
        <v>284</v>
      </c>
      <c r="I682" s="251" t="s">
        <v>1151</v>
      </c>
      <c r="J682" s="271"/>
      <c r="K682" s="271"/>
      <c r="L682" s="272"/>
      <c r="M682" s="272"/>
      <c r="N682" s="272"/>
      <c r="O682" s="272"/>
      <c r="P682" s="272"/>
      <c r="Q682" s="272"/>
      <c r="R682" s="272"/>
      <c r="S682" s="272"/>
      <c r="T682" s="272"/>
      <c r="U682" s="272"/>
      <c r="V682" s="272"/>
      <c r="W682" s="272"/>
      <c r="X682" s="272"/>
      <c r="Y682" s="272"/>
      <c r="Z682" s="237" t="str">
        <f>BIN2HEX(RIGHT((LEFT(Z680,8)),4))</f>
        <v>0</v>
      </c>
    </row>
    <row r="683" spans="2:26">
      <c r="B683" s="255" t="s">
        <v>189</v>
      </c>
      <c r="C683" s="257">
        <v>21</v>
      </c>
      <c r="D683" s="257">
        <v>2</v>
      </c>
      <c r="E683" s="257">
        <v>1</v>
      </c>
      <c r="F683" s="257">
        <v>1</v>
      </c>
      <c r="G683" s="257">
        <v>1</v>
      </c>
      <c r="H683" s="257">
        <v>3</v>
      </c>
      <c r="I683" s="257">
        <v>3</v>
      </c>
      <c r="J683" s="274"/>
      <c r="K683" s="274"/>
      <c r="L683" s="272"/>
      <c r="M683" s="272"/>
      <c r="N683" s="272"/>
      <c r="O683" s="272"/>
      <c r="P683" s="272"/>
      <c r="Q683" s="272"/>
      <c r="R683" s="272"/>
      <c r="S683" s="272"/>
      <c r="T683" s="272"/>
      <c r="U683" s="272"/>
      <c r="V683" s="272"/>
      <c r="W683" s="272"/>
      <c r="X683" s="272"/>
      <c r="Y683" s="272"/>
      <c r="Z683" s="237" t="str">
        <f>BIN2HEX(RIGHT((LEFT(Z680,12)),4))</f>
        <v>0</v>
      </c>
    </row>
    <row r="684" spans="2:26">
      <c r="B684" s="262" t="s">
        <v>16</v>
      </c>
      <c r="C684" s="259">
        <v>0</v>
      </c>
      <c r="D684" s="259">
        <v>0</v>
      </c>
      <c r="E684" s="259">
        <v>0</v>
      </c>
      <c r="F684" s="259">
        <v>0</v>
      </c>
      <c r="G684" s="259">
        <v>0</v>
      </c>
      <c r="H684" s="259">
        <f>INDEX(I688:J693,MATCH(Data_Rate,I688:I693,0),2)</f>
        <v>2</v>
      </c>
      <c r="I684" s="259">
        <v>0</v>
      </c>
      <c r="J684" s="261"/>
      <c r="K684" s="261"/>
      <c r="L684" s="261"/>
      <c r="M684" s="261"/>
      <c r="N684" s="261"/>
      <c r="O684" s="261"/>
      <c r="P684" s="261"/>
      <c r="Q684" s="261"/>
      <c r="R684" s="261"/>
      <c r="S684" s="261"/>
      <c r="T684" s="261"/>
      <c r="U684" s="261"/>
      <c r="V684" s="261"/>
      <c r="W684" s="261"/>
      <c r="X684" s="261"/>
      <c r="Y684" s="261"/>
      <c r="Z684" s="237" t="str">
        <f>BIN2HEX(RIGHT((LEFT(Z680,16)),4))</f>
        <v>0</v>
      </c>
    </row>
    <row r="685" spans="2:26" ht="13.5" thickBot="1">
      <c r="B685" s="264" t="s">
        <v>17</v>
      </c>
      <c r="C685" s="277" t="s">
        <v>1156</v>
      </c>
      <c r="D685" s="265" t="str">
        <f t="shared" ref="D685:I685" si="35">HEX2BIN(D684,D683)</f>
        <v>00</v>
      </c>
      <c r="E685" s="265" t="str">
        <f t="shared" si="35"/>
        <v>0</v>
      </c>
      <c r="F685" s="265" t="str">
        <f t="shared" si="35"/>
        <v>0</v>
      </c>
      <c r="G685" s="265" t="str">
        <f t="shared" si="35"/>
        <v>0</v>
      </c>
      <c r="H685" s="265" t="str">
        <f t="shared" si="35"/>
        <v>010</v>
      </c>
      <c r="I685" s="265" t="str">
        <f t="shared" si="35"/>
        <v>000</v>
      </c>
      <c r="J685" s="261"/>
      <c r="K685" s="261"/>
      <c r="L685" s="261"/>
      <c r="M685" s="261"/>
      <c r="N685" s="261"/>
      <c r="O685" s="261"/>
      <c r="P685" s="261"/>
      <c r="Q685" s="261"/>
      <c r="R685" s="261"/>
      <c r="S685" s="261"/>
      <c r="T685" s="261"/>
      <c r="U685" s="261"/>
      <c r="V685" s="261"/>
      <c r="W685" s="261"/>
      <c r="X685" s="261"/>
      <c r="Y685" s="261"/>
      <c r="Z685" s="237" t="str">
        <f>BIN2HEX(RIGHT((LEFT(Z680,20)),4))</f>
        <v>0</v>
      </c>
    </row>
    <row r="686" spans="2:26" ht="13.5" thickBot="1">
      <c r="B686" s="266" t="s">
        <v>18</v>
      </c>
      <c r="C686" s="267" t="str">
        <f>CONCATENATE("0x",Z681,Z682,Z683,Z684,Z685,Z686,Z687,Z688)</f>
        <v>0x00000010</v>
      </c>
      <c r="Z686" s="237" t="str">
        <f>BIN2HEX(RIGHT((LEFT(Z680,24)),4))</f>
        <v>0</v>
      </c>
    </row>
    <row r="687" spans="2:26">
      <c r="I687" s="278" t="s">
        <v>288</v>
      </c>
      <c r="J687" s="278"/>
      <c r="Z687" s="237" t="str">
        <f>BIN2HEX(RIGHT((LEFT(Z680,28)),4))</f>
        <v>1</v>
      </c>
    </row>
    <row r="688" spans="2:26">
      <c r="I688" s="278">
        <v>800</v>
      </c>
      <c r="J688" s="278">
        <v>0</v>
      </c>
      <c r="Z688" s="237" t="str">
        <f>BIN2HEX(RIGHT((LEFT(Z680,33)),4))</f>
        <v>0</v>
      </c>
    </row>
    <row r="689" spans="2:26">
      <c r="I689" s="278">
        <v>1066</v>
      </c>
      <c r="J689" s="278">
        <v>1</v>
      </c>
    </row>
    <row r="690" spans="2:26">
      <c r="I690" s="278">
        <v>1333</v>
      </c>
      <c r="J690" s="278">
        <v>2</v>
      </c>
    </row>
    <row r="691" spans="2:26">
      <c r="I691" s="278">
        <v>1600</v>
      </c>
      <c r="J691" s="278">
        <v>3</v>
      </c>
    </row>
    <row r="692" spans="2:26">
      <c r="I692" s="278">
        <v>1866</v>
      </c>
      <c r="J692" s="278">
        <v>4</v>
      </c>
    </row>
    <row r="693" spans="2:26">
      <c r="I693" s="278">
        <v>2133</v>
      </c>
      <c r="J693" s="278">
        <v>5</v>
      </c>
    </row>
    <row r="694" spans="2:26">
      <c r="I694" s="278"/>
      <c r="J694" s="278"/>
    </row>
    <row r="695" spans="2:26">
      <c r="Z695" s="248" t="s">
        <v>1135</v>
      </c>
    </row>
    <row r="696" spans="2:26" ht="13.5" thickBot="1">
      <c r="Z696" s="237" t="str">
        <f>CONCATENATE(C701,D701,E701,F701)</f>
        <v>00000000000000000000000000000000</v>
      </c>
    </row>
    <row r="697" spans="2:26" ht="13.5" thickBot="1">
      <c r="B697" s="245" t="s">
        <v>1136</v>
      </c>
      <c r="C697" s="246"/>
      <c r="D697" s="246"/>
      <c r="E697" s="246"/>
      <c r="F697" s="246"/>
      <c r="G697" s="276"/>
      <c r="H697" s="276"/>
      <c r="I697" s="276"/>
      <c r="J697" s="276"/>
      <c r="K697" s="276"/>
      <c r="L697" s="276"/>
      <c r="M697" s="276"/>
      <c r="N697" s="248"/>
      <c r="O697" s="248"/>
      <c r="P697" s="248"/>
      <c r="Q697" s="248"/>
      <c r="R697" s="248"/>
      <c r="S697" s="248"/>
      <c r="T697" s="248"/>
      <c r="U697" s="248"/>
      <c r="V697" s="248"/>
      <c r="W697" s="248"/>
      <c r="X697" s="248"/>
      <c r="Y697" s="248"/>
      <c r="Z697" s="237" t="str">
        <f>BIN2HEX(RIGHT((LEFT(Z696,4)),4))</f>
        <v>0</v>
      </c>
    </row>
    <row r="698" spans="2:26" ht="13.5" thickTop="1">
      <c r="B698" s="249"/>
      <c r="C698" s="268" t="s">
        <v>255</v>
      </c>
      <c r="D698" s="251" t="s">
        <v>1157</v>
      </c>
      <c r="E698" s="251" t="s">
        <v>1159</v>
      </c>
      <c r="F698" s="251" t="s">
        <v>1158</v>
      </c>
      <c r="G698" s="271"/>
      <c r="H698" s="271"/>
      <c r="I698" s="271"/>
      <c r="J698" s="271"/>
      <c r="K698" s="271"/>
      <c r="L698" s="271"/>
      <c r="M698" s="271"/>
      <c r="N698" s="272"/>
      <c r="O698" s="272"/>
      <c r="P698" s="272"/>
      <c r="Q698" s="272"/>
      <c r="R698" s="272"/>
      <c r="S698" s="272"/>
      <c r="T698" s="272"/>
      <c r="U698" s="272"/>
      <c r="V698" s="272"/>
      <c r="W698" s="272"/>
      <c r="X698" s="272"/>
      <c r="Y698" s="272"/>
      <c r="Z698" s="237" t="str">
        <f>BIN2HEX(RIGHT((LEFT(Z696,8)),4))</f>
        <v>0</v>
      </c>
    </row>
    <row r="699" spans="2:26">
      <c r="B699" s="255" t="s">
        <v>189</v>
      </c>
      <c r="C699" s="256">
        <v>16</v>
      </c>
      <c r="D699" s="257">
        <v>13</v>
      </c>
      <c r="E699" s="257">
        <v>1</v>
      </c>
      <c r="F699" s="257">
        <v>2</v>
      </c>
      <c r="G699" s="274"/>
      <c r="H699" s="274"/>
      <c r="I699" s="274"/>
      <c r="J699" s="274"/>
      <c r="K699" s="274"/>
      <c r="L699" s="274"/>
      <c r="M699" s="274"/>
      <c r="N699" s="272"/>
      <c r="O699" s="272"/>
      <c r="P699" s="272"/>
      <c r="Q699" s="272"/>
      <c r="R699" s="272"/>
      <c r="S699" s="272"/>
      <c r="T699" s="272"/>
      <c r="U699" s="272"/>
      <c r="V699" s="272"/>
      <c r="W699" s="272"/>
      <c r="X699" s="272"/>
      <c r="Y699" s="272"/>
      <c r="Z699" s="237" t="str">
        <f>BIN2HEX(RIGHT((LEFT(Z696,12)),4))</f>
        <v>0</v>
      </c>
    </row>
    <row r="700" spans="2:26">
      <c r="B700" s="262" t="s">
        <v>16</v>
      </c>
      <c r="C700" s="263">
        <v>0</v>
      </c>
      <c r="D700" s="259">
        <v>0</v>
      </c>
      <c r="E700" s="259">
        <v>0</v>
      </c>
      <c r="F700" s="259">
        <v>0</v>
      </c>
      <c r="G700" s="261"/>
      <c r="H700" s="261"/>
      <c r="I700" s="261"/>
      <c r="J700" s="261"/>
      <c r="K700" s="261"/>
      <c r="L700" s="261"/>
      <c r="M700" s="261"/>
      <c r="N700" s="261"/>
      <c r="O700" s="261"/>
      <c r="P700" s="261"/>
      <c r="Q700" s="261"/>
      <c r="R700" s="261"/>
      <c r="S700" s="261"/>
      <c r="T700" s="261"/>
      <c r="U700" s="261"/>
      <c r="V700" s="261"/>
      <c r="W700" s="261"/>
      <c r="X700" s="261"/>
      <c r="Y700" s="261"/>
      <c r="Z700" s="237" t="str">
        <f>BIN2HEX(RIGHT((LEFT(Z696,16)),4))</f>
        <v>0</v>
      </c>
    </row>
    <row r="701" spans="2:26" ht="13.5" thickBot="1">
      <c r="B701" s="264" t="s">
        <v>17</v>
      </c>
      <c r="C701" s="277" t="s">
        <v>257</v>
      </c>
      <c r="D701" s="277" t="s">
        <v>408</v>
      </c>
      <c r="E701" s="265" t="str">
        <f>HEX2BIN(E700,E699)</f>
        <v>0</v>
      </c>
      <c r="F701" s="265" t="str">
        <f>HEX2BIN(F700,F699)</f>
        <v>00</v>
      </c>
      <c r="G701" s="261"/>
      <c r="H701" s="261"/>
      <c r="I701" s="261"/>
      <c r="J701" s="261"/>
      <c r="K701" s="261"/>
      <c r="L701" s="261"/>
      <c r="M701" s="261"/>
      <c r="N701" s="261"/>
      <c r="O701" s="261"/>
      <c r="P701" s="261"/>
      <c r="Q701" s="261"/>
      <c r="R701" s="261"/>
      <c r="S701" s="261"/>
      <c r="T701" s="261"/>
      <c r="U701" s="261"/>
      <c r="V701" s="261"/>
      <c r="W701" s="261"/>
      <c r="X701" s="261"/>
      <c r="Y701" s="261"/>
      <c r="Z701" s="237" t="str">
        <f>BIN2HEX(RIGHT((LEFT(Z696,20)),4))</f>
        <v>0</v>
      </c>
    </row>
    <row r="702" spans="2:26" ht="13.5" thickBot="1">
      <c r="B702" s="266" t="s">
        <v>18</v>
      </c>
      <c r="C702" s="267" t="str">
        <f>CONCATENATE("0x",Z697,Z698,Z699,Z700,Z701,Z702,Z703,Z704)</f>
        <v>0x00000000</v>
      </c>
      <c r="Z702" s="237" t="str">
        <f>BIN2HEX(RIGHT((LEFT(Z696,24)),4))</f>
        <v>0</v>
      </c>
    </row>
    <row r="703" spans="2:26">
      <c r="Z703" s="237" t="str">
        <f>BIN2HEX(RIGHT((LEFT(Z696,28)),4))</f>
        <v>0</v>
      </c>
    </row>
    <row r="704" spans="2:26">
      <c r="Z704" s="237" t="str">
        <f>BIN2HEX(RIGHT((LEFT(Z696,33)),4))</f>
        <v>0</v>
      </c>
    </row>
    <row r="707" spans="2:26">
      <c r="Z707" s="248" t="s">
        <v>264</v>
      </c>
    </row>
    <row r="708" spans="2:26" ht="13.5" thickBot="1">
      <c r="Z708" s="237" t="str">
        <f>CONCATENATE(C713,D713,E713,F713,G713,H713,I713,J713,K713,L713,M713)</f>
        <v>00000000000000000000000000010100</v>
      </c>
    </row>
    <row r="709" spans="2:26" ht="13.5" thickBot="1">
      <c r="B709" s="245" t="s">
        <v>854</v>
      </c>
      <c r="C709" s="246"/>
      <c r="D709" s="246"/>
      <c r="E709" s="246"/>
      <c r="F709" s="246"/>
      <c r="G709" s="246"/>
      <c r="H709" s="246"/>
      <c r="I709" s="246"/>
      <c r="J709" s="246"/>
      <c r="K709" s="246"/>
      <c r="L709" s="246"/>
      <c r="M709" s="246"/>
      <c r="N709" s="248"/>
      <c r="O709" s="248"/>
      <c r="P709" s="248"/>
      <c r="Q709" s="248"/>
      <c r="R709" s="248"/>
      <c r="S709" s="248"/>
      <c r="T709" s="248"/>
      <c r="U709" s="248"/>
      <c r="V709" s="248"/>
      <c r="W709" s="248"/>
      <c r="X709" s="248"/>
      <c r="Y709" s="248"/>
      <c r="Z709" s="237" t="str">
        <f>BIN2HEX(RIGHT((LEFT(Z708,4)),4))</f>
        <v>0</v>
      </c>
    </row>
    <row r="710" spans="2:26" ht="13.5" thickTop="1">
      <c r="B710" s="249"/>
      <c r="C710" s="268" t="s">
        <v>255</v>
      </c>
      <c r="D710" s="251" t="s">
        <v>236</v>
      </c>
      <c r="E710" s="251" t="s">
        <v>265</v>
      </c>
      <c r="F710" s="251" t="s">
        <v>266</v>
      </c>
      <c r="G710" s="251" t="s">
        <v>258</v>
      </c>
      <c r="H710" s="251" t="s">
        <v>259</v>
      </c>
      <c r="I710" s="251" t="s">
        <v>260</v>
      </c>
      <c r="J710" s="251" t="s">
        <v>261</v>
      </c>
      <c r="K710" s="251" t="s">
        <v>262</v>
      </c>
      <c r="L710" s="251" t="s">
        <v>267</v>
      </c>
      <c r="M710" s="251" t="s">
        <v>263</v>
      </c>
      <c r="N710" s="272"/>
      <c r="O710" s="272"/>
      <c r="P710" s="272"/>
      <c r="Q710" s="272"/>
      <c r="R710" s="272"/>
      <c r="S710" s="272"/>
      <c r="T710" s="272"/>
      <c r="U710" s="272"/>
      <c r="V710" s="272"/>
      <c r="W710" s="272"/>
      <c r="X710" s="272"/>
      <c r="Y710" s="272"/>
      <c r="Z710" s="237" t="str">
        <f>BIN2HEX(RIGHT((LEFT(Z708,8)),4))</f>
        <v>0</v>
      </c>
    </row>
    <row r="711" spans="2:26">
      <c r="B711" s="255" t="s">
        <v>189</v>
      </c>
      <c r="C711" s="256">
        <v>16</v>
      </c>
      <c r="D711" s="257">
        <v>2</v>
      </c>
      <c r="E711" s="257">
        <v>1</v>
      </c>
      <c r="F711" s="257">
        <v>1</v>
      </c>
      <c r="G711" s="257">
        <v>3</v>
      </c>
      <c r="H711" s="257">
        <v>1</v>
      </c>
      <c r="I711" s="257">
        <v>1</v>
      </c>
      <c r="J711" s="257">
        <v>3</v>
      </c>
      <c r="K711" s="257">
        <v>1</v>
      </c>
      <c r="L711" s="257">
        <v>1</v>
      </c>
      <c r="M711" s="257">
        <v>2</v>
      </c>
      <c r="N711" s="272"/>
      <c r="O711" s="272"/>
      <c r="P711" s="272"/>
      <c r="Q711" s="272"/>
      <c r="R711" s="272"/>
      <c r="S711" s="272"/>
      <c r="T711" s="272"/>
      <c r="U711" s="272"/>
      <c r="V711" s="272"/>
      <c r="W711" s="272"/>
      <c r="X711" s="272"/>
      <c r="Y711" s="272"/>
      <c r="Z711" s="237" t="str">
        <f>BIN2HEX(RIGHT((LEFT(Z708,12)),4))</f>
        <v>0</v>
      </c>
    </row>
    <row r="712" spans="2:26">
      <c r="B712" s="262" t="s">
        <v>16</v>
      </c>
      <c r="C712" s="263">
        <v>0</v>
      </c>
      <c r="D712" s="259">
        <v>0</v>
      </c>
      <c r="E712" s="275">
        <f>INDEX(B717:D726,MATCH(CEILING(tWR/tCK,1),B717:B726,0),2)</f>
        <v>0</v>
      </c>
      <c r="F712" s="259">
        <f>INDEX(E717:H740,MATCH(CL,E717:E740,0),2)</f>
        <v>0</v>
      </c>
      <c r="G712" s="275">
        <f>INDEX(B717:D726,MATCH(CEILING(tWR/tCK,1),B717:B726,0),3)</f>
        <v>0</v>
      </c>
      <c r="H712" s="259">
        <v>0</v>
      </c>
      <c r="I712" s="259">
        <v>0</v>
      </c>
      <c r="J712" s="259">
        <f>INDEX(E717:H740,MATCH(CL,E717:E740,0),3)</f>
        <v>1</v>
      </c>
      <c r="K712" s="259">
        <v>0</v>
      </c>
      <c r="L712" s="259">
        <f>INDEX(E717:H740,MATCH(CL,E717:E740,0),4)</f>
        <v>1</v>
      </c>
      <c r="M712" s="259">
        <f>IF(BL=8,0,IF(BL=4,2,"ERROR"))</f>
        <v>0</v>
      </c>
      <c r="N712" s="261"/>
      <c r="O712" s="261"/>
      <c r="P712" s="261"/>
      <c r="Q712" s="261"/>
      <c r="R712" s="261"/>
      <c r="S712" s="261"/>
      <c r="T712" s="261"/>
      <c r="U712" s="261"/>
      <c r="V712" s="261"/>
      <c r="W712" s="261"/>
      <c r="X712" s="261"/>
      <c r="Y712" s="261"/>
      <c r="Z712" s="237" t="str">
        <f>BIN2HEX(RIGHT((LEFT(Z708,16)),4))</f>
        <v>0</v>
      </c>
    </row>
    <row r="713" spans="2:26" ht="13.5" thickBot="1">
      <c r="B713" s="264" t="s">
        <v>17</v>
      </c>
      <c r="C713" s="277" t="s">
        <v>257</v>
      </c>
      <c r="D713" s="265" t="str">
        <f t="shared" ref="D713:M713" si="36">HEX2BIN(D712,D711)</f>
        <v>00</v>
      </c>
      <c r="E713" s="265" t="str">
        <f t="shared" si="36"/>
        <v>0</v>
      </c>
      <c r="F713" s="265" t="str">
        <f t="shared" si="36"/>
        <v>0</v>
      </c>
      <c r="G713" s="265" t="str">
        <f t="shared" si="36"/>
        <v>000</v>
      </c>
      <c r="H713" s="265" t="str">
        <f t="shared" si="36"/>
        <v>0</v>
      </c>
      <c r="I713" s="265" t="str">
        <f t="shared" si="36"/>
        <v>0</v>
      </c>
      <c r="J713" s="265" t="str">
        <f t="shared" si="36"/>
        <v>001</v>
      </c>
      <c r="K713" s="265" t="str">
        <f t="shared" si="36"/>
        <v>0</v>
      </c>
      <c r="L713" s="265" t="str">
        <f t="shared" si="36"/>
        <v>1</v>
      </c>
      <c r="M713" s="265" t="str">
        <f t="shared" si="36"/>
        <v>00</v>
      </c>
      <c r="N713" s="261"/>
      <c r="O713" s="261"/>
      <c r="P713" s="261"/>
      <c r="Q713" s="261"/>
      <c r="R713" s="261"/>
      <c r="S713" s="261"/>
      <c r="T713" s="261"/>
      <c r="U713" s="261"/>
      <c r="V713" s="261"/>
      <c r="W713" s="261"/>
      <c r="X713" s="261"/>
      <c r="Y713" s="261"/>
      <c r="Z713" s="237" t="str">
        <f>BIN2HEX(RIGHT((LEFT(Z708,20)),4))</f>
        <v>0</v>
      </c>
    </row>
    <row r="714" spans="2:26" ht="13.5" thickBot="1">
      <c r="B714" s="266" t="s">
        <v>18</v>
      </c>
      <c r="C714" s="267" t="str">
        <f>CONCATENATE("0x",Z709,Z710,Z711,Z712,Z713,Z714,Z715,Z716)</f>
        <v>0x00000014</v>
      </c>
      <c r="Z714" s="237" t="str">
        <f>BIN2HEX(RIGHT((LEFT(Z708,24)),4))</f>
        <v>0</v>
      </c>
    </row>
    <row r="715" spans="2:26">
      <c r="Z715" s="237" t="str">
        <f>BIN2HEX(RIGHT((LEFT(Z708,28)),4))</f>
        <v>1</v>
      </c>
    </row>
    <row r="716" spans="2:26">
      <c r="B716" s="278" t="s">
        <v>268</v>
      </c>
      <c r="C716" s="278" t="s">
        <v>265</v>
      </c>
      <c r="D716" s="278" t="s">
        <v>258</v>
      </c>
      <c r="E716" s="278" t="s">
        <v>269</v>
      </c>
      <c r="F716" s="278" t="s">
        <v>266</v>
      </c>
      <c r="G716" s="278" t="s">
        <v>261</v>
      </c>
      <c r="H716" s="278" t="s">
        <v>267</v>
      </c>
      <c r="Z716" s="237" t="str">
        <f>BIN2HEX(RIGHT((LEFT(Z708,33)),4))</f>
        <v>4</v>
      </c>
    </row>
    <row r="717" spans="2:26">
      <c r="B717" s="278">
        <v>10</v>
      </c>
      <c r="C717" s="278">
        <v>0</v>
      </c>
      <c r="D717" s="278">
        <v>0</v>
      </c>
      <c r="E717" s="278">
        <v>9</v>
      </c>
      <c r="F717" s="278">
        <v>0</v>
      </c>
      <c r="G717" s="278">
        <v>0</v>
      </c>
      <c r="H717" s="278">
        <v>0</v>
      </c>
    </row>
    <row r="718" spans="2:26">
      <c r="B718" s="278">
        <v>12</v>
      </c>
      <c r="C718" s="278">
        <v>0</v>
      </c>
      <c r="D718" s="278">
        <v>1</v>
      </c>
      <c r="E718" s="278">
        <v>10</v>
      </c>
      <c r="F718" s="278">
        <v>0</v>
      </c>
      <c r="G718" s="278">
        <v>0</v>
      </c>
      <c r="H718" s="278">
        <v>1</v>
      </c>
    </row>
    <row r="719" spans="2:26">
      <c r="B719" s="278">
        <v>14</v>
      </c>
      <c r="C719" s="278">
        <v>0</v>
      </c>
      <c r="D719" s="278">
        <v>2</v>
      </c>
      <c r="E719" s="278">
        <v>11</v>
      </c>
      <c r="F719" s="278">
        <v>0</v>
      </c>
      <c r="G719" s="278">
        <v>1</v>
      </c>
      <c r="H719" s="278">
        <v>0</v>
      </c>
    </row>
    <row r="720" spans="2:26">
      <c r="B720" s="278">
        <v>16</v>
      </c>
      <c r="C720" s="278">
        <v>0</v>
      </c>
      <c r="D720" s="278">
        <v>3</v>
      </c>
      <c r="E720" s="278">
        <v>12</v>
      </c>
      <c r="F720" s="278">
        <v>0</v>
      </c>
      <c r="G720" s="278">
        <v>1</v>
      </c>
      <c r="H720" s="278">
        <v>1</v>
      </c>
    </row>
    <row r="721" spans="2:8">
      <c r="B721" s="278">
        <v>18</v>
      </c>
      <c r="C721" s="278">
        <v>0</v>
      </c>
      <c r="D721" s="278">
        <v>4</v>
      </c>
      <c r="E721" s="278">
        <v>13</v>
      </c>
      <c r="F721" s="278">
        <v>0</v>
      </c>
      <c r="G721" s="278">
        <v>2</v>
      </c>
      <c r="H721" s="278">
        <v>0</v>
      </c>
    </row>
    <row r="722" spans="2:8">
      <c r="B722" s="278">
        <v>20</v>
      </c>
      <c r="C722" s="278">
        <v>0</v>
      </c>
      <c r="D722" s="278">
        <v>5</v>
      </c>
      <c r="E722" s="278">
        <v>14</v>
      </c>
      <c r="F722" s="278">
        <v>0</v>
      </c>
      <c r="G722" s="278">
        <v>2</v>
      </c>
      <c r="H722" s="278">
        <v>1</v>
      </c>
    </row>
    <row r="723" spans="2:8">
      <c r="B723" s="278">
        <v>24</v>
      </c>
      <c r="C723" s="278">
        <v>0</v>
      </c>
      <c r="D723" s="278">
        <v>6</v>
      </c>
      <c r="E723" s="278">
        <v>15</v>
      </c>
      <c r="F723" s="278">
        <v>0</v>
      </c>
      <c r="G723" s="278">
        <v>3</v>
      </c>
      <c r="H723" s="278">
        <v>0</v>
      </c>
    </row>
    <row r="724" spans="2:8">
      <c r="B724" s="278">
        <v>22</v>
      </c>
      <c r="C724" s="278">
        <v>0</v>
      </c>
      <c r="D724" s="278">
        <v>7</v>
      </c>
      <c r="E724" s="278">
        <v>16</v>
      </c>
      <c r="F724" s="278">
        <v>0</v>
      </c>
      <c r="G724" s="278">
        <v>3</v>
      </c>
      <c r="H724" s="278">
        <v>1</v>
      </c>
    </row>
    <row r="725" spans="2:8">
      <c r="B725" s="278">
        <v>26</v>
      </c>
      <c r="C725" s="278">
        <v>1</v>
      </c>
      <c r="D725" s="278">
        <v>0</v>
      </c>
      <c r="E725" s="278">
        <v>18</v>
      </c>
      <c r="F725" s="278">
        <v>0</v>
      </c>
      <c r="G725" s="278">
        <v>4</v>
      </c>
      <c r="H725" s="278">
        <v>0</v>
      </c>
    </row>
    <row r="726" spans="2:8">
      <c r="B726" s="278">
        <v>28</v>
      </c>
      <c r="C726" s="278">
        <v>1</v>
      </c>
      <c r="D726" s="278">
        <v>1</v>
      </c>
      <c r="E726" s="278">
        <v>20</v>
      </c>
      <c r="F726" s="278">
        <v>0</v>
      </c>
      <c r="G726" s="278">
        <v>4</v>
      </c>
      <c r="H726" s="278">
        <v>1</v>
      </c>
    </row>
    <row r="727" spans="2:8">
      <c r="E727" s="278">
        <v>22</v>
      </c>
      <c r="F727" s="278">
        <v>0</v>
      </c>
      <c r="G727" s="278">
        <v>5</v>
      </c>
      <c r="H727" s="278">
        <v>0</v>
      </c>
    </row>
    <row r="728" spans="2:8">
      <c r="E728" s="278">
        <v>24</v>
      </c>
      <c r="F728" s="278">
        <v>0</v>
      </c>
      <c r="G728" s="278">
        <v>5</v>
      </c>
      <c r="H728" s="278">
        <v>1</v>
      </c>
    </row>
    <row r="729" spans="2:8">
      <c r="E729" s="278">
        <v>23</v>
      </c>
      <c r="F729" s="278">
        <v>0</v>
      </c>
      <c r="G729" s="278">
        <v>6</v>
      </c>
      <c r="H729" s="278">
        <v>0</v>
      </c>
    </row>
    <row r="730" spans="2:8">
      <c r="E730" s="278">
        <v>17</v>
      </c>
      <c r="F730" s="278">
        <v>0</v>
      </c>
      <c r="G730" s="278">
        <v>6</v>
      </c>
      <c r="H730" s="278">
        <v>1</v>
      </c>
    </row>
    <row r="731" spans="2:8">
      <c r="E731" s="278">
        <v>19</v>
      </c>
      <c r="F731" s="278">
        <v>0</v>
      </c>
      <c r="G731" s="278">
        <v>7</v>
      </c>
      <c r="H731" s="278">
        <v>0</v>
      </c>
    </row>
    <row r="732" spans="2:8">
      <c r="E732" s="278">
        <v>21</v>
      </c>
      <c r="F732" s="278">
        <v>0</v>
      </c>
      <c r="G732" s="278">
        <v>7</v>
      </c>
      <c r="H732" s="278">
        <v>1</v>
      </c>
    </row>
    <row r="733" spans="2:8">
      <c r="E733" s="278">
        <v>25</v>
      </c>
      <c r="F733" s="278">
        <v>1</v>
      </c>
      <c r="G733" s="278">
        <v>0</v>
      </c>
      <c r="H733" s="278">
        <v>0</v>
      </c>
    </row>
    <row r="734" spans="2:8">
      <c r="E734" s="278">
        <v>26</v>
      </c>
      <c r="F734" s="278">
        <v>1</v>
      </c>
      <c r="G734" s="278">
        <v>0</v>
      </c>
      <c r="H734" s="278">
        <v>1</v>
      </c>
    </row>
    <row r="735" spans="2:8">
      <c r="E735" s="278">
        <v>27</v>
      </c>
      <c r="F735" s="278">
        <v>1</v>
      </c>
      <c r="G735" s="278">
        <v>1</v>
      </c>
      <c r="H735" s="278">
        <v>0</v>
      </c>
    </row>
    <row r="736" spans="2:8">
      <c r="E736" s="278">
        <v>28</v>
      </c>
      <c r="F736" s="278">
        <v>1</v>
      </c>
      <c r="G736" s="278">
        <v>1</v>
      </c>
      <c r="H736" s="278">
        <v>1</v>
      </c>
    </row>
    <row r="737" spans="2:26">
      <c r="E737" s="278">
        <v>29</v>
      </c>
      <c r="F737" s="278">
        <v>1</v>
      </c>
      <c r="G737" s="278">
        <v>2</v>
      </c>
      <c r="H737" s="278">
        <v>0</v>
      </c>
    </row>
    <row r="738" spans="2:26">
      <c r="E738" s="278">
        <v>30</v>
      </c>
      <c r="F738" s="278">
        <v>1</v>
      </c>
      <c r="G738" s="278">
        <v>2</v>
      </c>
      <c r="H738" s="278">
        <v>1</v>
      </c>
    </row>
    <row r="739" spans="2:26">
      <c r="E739" s="278">
        <v>31</v>
      </c>
      <c r="F739" s="278">
        <v>1</v>
      </c>
      <c r="G739" s="278">
        <v>3</v>
      </c>
      <c r="H739" s="278">
        <v>0</v>
      </c>
    </row>
    <row r="740" spans="2:26">
      <c r="E740" s="278">
        <v>32</v>
      </c>
      <c r="F740" s="278">
        <v>1</v>
      </c>
      <c r="G740" s="278">
        <v>3</v>
      </c>
      <c r="H740" s="278">
        <v>1</v>
      </c>
    </row>
    <row r="742" spans="2:26">
      <c r="Z742" s="248" t="s">
        <v>270</v>
      </c>
    </row>
    <row r="743" spans="2:26" ht="13.5" thickBot="1">
      <c r="Z743" s="237" t="str">
        <f>CONCATENATE(C748,D748,E748,F748,G748,H748,I748,J748,K748,L748)</f>
        <v>00000000000000000000010100000001</v>
      </c>
    </row>
    <row r="744" spans="2:26" ht="13.5" thickBot="1">
      <c r="B744" s="245" t="s">
        <v>855</v>
      </c>
      <c r="C744" s="246"/>
      <c r="D744" s="246"/>
      <c r="E744" s="246"/>
      <c r="F744" s="246"/>
      <c r="G744" s="246"/>
      <c r="H744" s="246"/>
      <c r="I744" s="246"/>
      <c r="J744" s="246"/>
      <c r="K744" s="246" t="s">
        <v>734</v>
      </c>
      <c r="L744" s="246"/>
      <c r="M744" s="276"/>
      <c r="N744" s="248"/>
      <c r="O744" s="248"/>
      <c r="P744" s="248"/>
      <c r="Q744" s="248"/>
      <c r="R744" s="248"/>
      <c r="S744" s="248"/>
      <c r="T744" s="248"/>
      <c r="U744" s="248"/>
      <c r="V744" s="248"/>
      <c r="W744" s="248"/>
      <c r="X744" s="248"/>
      <c r="Y744" s="248"/>
      <c r="Z744" s="237" t="str">
        <f>BIN2HEX(RIGHT((LEFT(Z743,4)),4))</f>
        <v>0</v>
      </c>
    </row>
    <row r="745" spans="2:26" ht="13.5" thickTop="1">
      <c r="B745" s="249"/>
      <c r="C745" s="268" t="s">
        <v>255</v>
      </c>
      <c r="D745" s="251" t="s">
        <v>256</v>
      </c>
      <c r="E745" s="251" t="s">
        <v>272</v>
      </c>
      <c r="F745" s="251" t="s">
        <v>273</v>
      </c>
      <c r="G745" s="251" t="s">
        <v>271</v>
      </c>
      <c r="H745" s="251" t="s">
        <v>274</v>
      </c>
      <c r="I745" s="251" t="s">
        <v>275</v>
      </c>
      <c r="J745" s="251" t="s">
        <v>276</v>
      </c>
      <c r="K745" s="251" t="s">
        <v>277</v>
      </c>
      <c r="L745" s="251" t="s">
        <v>278</v>
      </c>
      <c r="M745" s="271"/>
      <c r="N745" s="272"/>
      <c r="O745" s="272"/>
      <c r="P745" s="272"/>
      <c r="Q745" s="272"/>
      <c r="R745" s="272"/>
      <c r="S745" s="272"/>
      <c r="T745" s="272"/>
      <c r="U745" s="272"/>
      <c r="V745" s="272"/>
      <c r="W745" s="272"/>
      <c r="X745" s="272"/>
      <c r="Y745" s="272"/>
      <c r="Z745" s="237" t="str">
        <f>BIN2HEX(RIGHT((LEFT(Z743,8)),4))</f>
        <v>0</v>
      </c>
    </row>
    <row r="746" spans="2:26">
      <c r="B746" s="255" t="s">
        <v>189</v>
      </c>
      <c r="C746" s="256">
        <v>16</v>
      </c>
      <c r="D746" s="257">
        <v>3</v>
      </c>
      <c r="E746" s="257">
        <v>1</v>
      </c>
      <c r="F746" s="257">
        <v>1</v>
      </c>
      <c r="G746" s="257">
        <v>3</v>
      </c>
      <c r="H746" s="257">
        <v>1</v>
      </c>
      <c r="I746" s="257">
        <v>2</v>
      </c>
      <c r="J746" s="257">
        <v>2</v>
      </c>
      <c r="K746" s="257">
        <v>2</v>
      </c>
      <c r="L746" s="257">
        <v>1</v>
      </c>
      <c r="M746" s="274"/>
      <c r="N746" s="272"/>
      <c r="O746" s="272"/>
      <c r="P746" s="272"/>
      <c r="Q746" s="272"/>
      <c r="R746" s="272"/>
      <c r="S746" s="272"/>
      <c r="T746" s="272"/>
      <c r="U746" s="272"/>
      <c r="V746" s="272"/>
      <c r="W746" s="272"/>
      <c r="X746" s="272"/>
      <c r="Y746" s="272"/>
      <c r="Z746" s="237" t="str">
        <f>BIN2HEX(RIGHT((LEFT(Z743,12)),4))</f>
        <v>0</v>
      </c>
    </row>
    <row r="747" spans="2:26">
      <c r="B747" s="262" t="s">
        <v>16</v>
      </c>
      <c r="C747" s="263">
        <v>0</v>
      </c>
      <c r="D747" s="259">
        <v>0</v>
      </c>
      <c r="E747" s="259">
        <v>0</v>
      </c>
      <c r="F747" s="259">
        <v>0</v>
      </c>
      <c r="G747" s="259" t="str">
        <f>DEC2HEX(DRAM_Rtt_register)</f>
        <v>5</v>
      </c>
      <c r="H747" s="259">
        <v>0</v>
      </c>
      <c r="I747" s="259">
        <v>0</v>
      </c>
      <c r="J747" s="259">
        <v>0</v>
      </c>
      <c r="K747" s="259" t="str">
        <f>DEC2HEX(DRAM_Ron_register)</f>
        <v>0</v>
      </c>
      <c r="L747" s="259">
        <v>1</v>
      </c>
      <c r="M747" s="261"/>
      <c r="N747" s="261"/>
      <c r="O747" s="261"/>
      <c r="P747" s="261"/>
      <c r="Q747" s="261"/>
      <c r="R747" s="261"/>
      <c r="S747" s="261"/>
      <c r="T747" s="261"/>
      <c r="U747" s="261"/>
      <c r="V747" s="261"/>
      <c r="W747" s="261"/>
      <c r="X747" s="261"/>
      <c r="Y747" s="261"/>
      <c r="Z747" s="237" t="str">
        <f>BIN2HEX(RIGHT((LEFT(Z743,16)),4))</f>
        <v>0</v>
      </c>
    </row>
    <row r="748" spans="2:26" ht="13.5" thickBot="1">
      <c r="B748" s="264" t="s">
        <v>17</v>
      </c>
      <c r="C748" s="277" t="s">
        <v>257</v>
      </c>
      <c r="D748" s="265" t="str">
        <f t="shared" ref="D748:L748" si="37">HEX2BIN(D747,D746)</f>
        <v>000</v>
      </c>
      <c r="E748" s="265" t="str">
        <f t="shared" si="37"/>
        <v>0</v>
      </c>
      <c r="F748" s="265" t="str">
        <f t="shared" si="37"/>
        <v>0</v>
      </c>
      <c r="G748" s="265" t="str">
        <f t="shared" si="37"/>
        <v>101</v>
      </c>
      <c r="H748" s="265" t="str">
        <f t="shared" si="37"/>
        <v>0</v>
      </c>
      <c r="I748" s="265" t="str">
        <f t="shared" si="37"/>
        <v>00</v>
      </c>
      <c r="J748" s="265" t="str">
        <f t="shared" si="37"/>
        <v>00</v>
      </c>
      <c r="K748" s="265" t="str">
        <f t="shared" si="37"/>
        <v>00</v>
      </c>
      <c r="L748" s="265" t="str">
        <f t="shared" si="37"/>
        <v>1</v>
      </c>
      <c r="M748" s="261"/>
      <c r="N748" s="261"/>
      <c r="O748" s="261"/>
      <c r="P748" s="261"/>
      <c r="Q748" s="261"/>
      <c r="R748" s="261"/>
      <c r="S748" s="261"/>
      <c r="T748" s="261"/>
      <c r="U748" s="261"/>
      <c r="V748" s="261"/>
      <c r="W748" s="261"/>
      <c r="X748" s="261"/>
      <c r="Y748" s="261"/>
      <c r="Z748" s="237" t="str">
        <f>BIN2HEX(RIGHT((LEFT(Z743,20)),4))</f>
        <v>0</v>
      </c>
    </row>
    <row r="749" spans="2:26" ht="13.5" thickBot="1">
      <c r="B749" s="266" t="s">
        <v>18</v>
      </c>
      <c r="C749" s="267" t="str">
        <f>CONCATENATE("0x",Z744,Z745,Z746,Z747,Z748,Z749,Z750,Z751)</f>
        <v>0x00000501</v>
      </c>
      <c r="Z749" s="237" t="str">
        <f>BIN2HEX(RIGHT((LEFT(Z743,24)),4))</f>
        <v>5</v>
      </c>
    </row>
    <row r="750" spans="2:26">
      <c r="Z750" s="237" t="str">
        <f>BIN2HEX(RIGHT((LEFT(Z743,28)),4))</f>
        <v>0</v>
      </c>
    </row>
    <row r="751" spans="2:26">
      <c r="Z751" s="237" t="str">
        <f>BIN2HEX(RIGHT((LEFT(Z743,33)),4))</f>
        <v>1</v>
      </c>
    </row>
    <row r="753" spans="2:26">
      <c r="Z753" s="248" t="s">
        <v>279</v>
      </c>
    </row>
    <row r="754" spans="2:26" ht="13.5" thickBot="1">
      <c r="Z754" s="237" t="str">
        <f>CONCATENATE(C759,D759,E759,F759,G759,H759,I759,J759,K759,L759)</f>
        <v>00000000000000000000000000000000</v>
      </c>
    </row>
    <row r="755" spans="2:26" ht="13.5" thickBot="1">
      <c r="B755" s="245" t="s">
        <v>856</v>
      </c>
      <c r="C755" s="246"/>
      <c r="D755" s="246"/>
      <c r="E755" s="246"/>
      <c r="F755" s="246"/>
      <c r="G755" s="246"/>
      <c r="H755" s="246"/>
      <c r="I755" s="246"/>
      <c r="J755" s="246"/>
      <c r="K755" s="246"/>
      <c r="L755" s="246"/>
      <c r="M755" s="276"/>
      <c r="N755" s="248"/>
      <c r="O755" s="248"/>
      <c r="P755" s="248"/>
      <c r="Q755" s="248"/>
      <c r="R755" s="248"/>
      <c r="S755" s="248"/>
      <c r="T755" s="248"/>
      <c r="U755" s="248"/>
      <c r="V755" s="248"/>
      <c r="W755" s="248"/>
      <c r="X755" s="248"/>
      <c r="Y755" s="248"/>
      <c r="Z755" s="237" t="str">
        <f>BIN2HEX(RIGHT((LEFT(Z754,4)),4))</f>
        <v>0</v>
      </c>
    </row>
    <row r="756" spans="2:26" ht="13.5" thickTop="1">
      <c r="B756" s="249"/>
      <c r="C756" s="268" t="s">
        <v>255</v>
      </c>
      <c r="D756" s="251" t="s">
        <v>236</v>
      </c>
      <c r="E756" s="251" t="s">
        <v>280</v>
      </c>
      <c r="F756" s="251" t="s">
        <v>287</v>
      </c>
      <c r="G756" s="251" t="s">
        <v>281</v>
      </c>
      <c r="H756" s="251" t="s">
        <v>282</v>
      </c>
      <c r="I756" s="251" t="s">
        <v>283</v>
      </c>
      <c r="J756" s="251" t="s">
        <v>284</v>
      </c>
      <c r="K756" s="251" t="s">
        <v>285</v>
      </c>
      <c r="L756" s="251" t="s">
        <v>286</v>
      </c>
      <c r="M756" s="271"/>
      <c r="N756" s="272"/>
      <c r="O756" s="272"/>
      <c r="P756" s="272"/>
      <c r="Q756" s="272"/>
      <c r="R756" s="272"/>
      <c r="S756" s="272"/>
      <c r="T756" s="272"/>
      <c r="U756" s="272"/>
      <c r="V756" s="272"/>
      <c r="W756" s="272"/>
      <c r="X756" s="272"/>
      <c r="Y756" s="272"/>
      <c r="Z756" s="237" t="str">
        <f>BIN2HEX(RIGHT((LEFT(Z754,8)),4))</f>
        <v>0</v>
      </c>
    </row>
    <row r="757" spans="2:26">
      <c r="B757" s="255" t="s">
        <v>189</v>
      </c>
      <c r="C757" s="256">
        <v>16</v>
      </c>
      <c r="D757" s="257">
        <v>2</v>
      </c>
      <c r="E757" s="257">
        <v>1</v>
      </c>
      <c r="F757" s="257">
        <v>1</v>
      </c>
      <c r="G757" s="257">
        <v>3</v>
      </c>
      <c r="H757" s="257">
        <v>1</v>
      </c>
      <c r="I757" s="257">
        <v>2</v>
      </c>
      <c r="J757" s="257">
        <v>3</v>
      </c>
      <c r="K757" s="257">
        <v>1</v>
      </c>
      <c r="L757" s="257">
        <v>2</v>
      </c>
      <c r="M757" s="274"/>
      <c r="N757" s="272"/>
      <c r="O757" s="272"/>
      <c r="P757" s="272"/>
      <c r="Q757" s="272"/>
      <c r="R757" s="272"/>
      <c r="S757" s="272"/>
      <c r="T757" s="272"/>
      <c r="U757" s="272"/>
      <c r="V757" s="272"/>
      <c r="W757" s="272"/>
      <c r="X757" s="272"/>
      <c r="Y757" s="272"/>
      <c r="Z757" s="237" t="str">
        <f>BIN2HEX(RIGHT((LEFT(Z754,12)),4))</f>
        <v>0</v>
      </c>
    </row>
    <row r="758" spans="2:26">
      <c r="B758" s="262" t="s">
        <v>16</v>
      </c>
      <c r="C758" s="263">
        <v>0</v>
      </c>
      <c r="D758" s="259">
        <v>0</v>
      </c>
      <c r="E758" s="259">
        <v>0</v>
      </c>
      <c r="F758" s="259">
        <v>0</v>
      </c>
      <c r="G758" s="259">
        <v>0</v>
      </c>
      <c r="H758" s="259">
        <v>0</v>
      </c>
      <c r="I758" s="259">
        <v>0</v>
      </c>
      <c r="J758" s="259">
        <f>INDEX(I762:J768,MATCH(Data_Rate,I762:I768,0),2)</f>
        <v>0</v>
      </c>
      <c r="K758" s="259">
        <v>0</v>
      </c>
      <c r="L758" s="259">
        <v>0</v>
      </c>
      <c r="M758" s="261"/>
      <c r="N758" s="261"/>
      <c r="O758" s="261"/>
      <c r="P758" s="261"/>
      <c r="Q758" s="261"/>
      <c r="R758" s="261"/>
      <c r="S758" s="261"/>
      <c r="T758" s="261"/>
      <c r="U758" s="261"/>
      <c r="V758" s="261"/>
      <c r="W758" s="261"/>
      <c r="X758" s="261"/>
      <c r="Y758" s="261"/>
      <c r="Z758" s="237" t="str">
        <f>BIN2HEX(RIGHT((LEFT(Z754,16)),4))</f>
        <v>0</v>
      </c>
    </row>
    <row r="759" spans="2:26" ht="13.5" thickBot="1">
      <c r="B759" s="264" t="s">
        <v>17</v>
      </c>
      <c r="C759" s="277" t="s">
        <v>257</v>
      </c>
      <c r="D759" s="265" t="str">
        <f t="shared" ref="D759:L759" si="38">HEX2BIN(D758,D757)</f>
        <v>00</v>
      </c>
      <c r="E759" s="265" t="str">
        <f t="shared" si="38"/>
        <v>0</v>
      </c>
      <c r="F759" s="265" t="str">
        <f t="shared" si="38"/>
        <v>0</v>
      </c>
      <c r="G759" s="265" t="str">
        <f t="shared" si="38"/>
        <v>000</v>
      </c>
      <c r="H759" s="265" t="str">
        <f t="shared" si="38"/>
        <v>0</v>
      </c>
      <c r="I759" s="265" t="str">
        <f t="shared" si="38"/>
        <v>00</v>
      </c>
      <c r="J759" s="265" t="str">
        <f t="shared" si="38"/>
        <v>000</v>
      </c>
      <c r="K759" s="265" t="str">
        <f t="shared" si="38"/>
        <v>0</v>
      </c>
      <c r="L759" s="265" t="str">
        <f t="shared" si="38"/>
        <v>00</v>
      </c>
      <c r="M759" s="261"/>
      <c r="N759" s="261"/>
      <c r="O759" s="261"/>
      <c r="P759" s="261"/>
      <c r="Q759" s="261"/>
      <c r="R759" s="261"/>
      <c r="S759" s="261"/>
      <c r="T759" s="261"/>
      <c r="U759" s="261"/>
      <c r="V759" s="261"/>
      <c r="W759" s="261"/>
      <c r="X759" s="261"/>
      <c r="Y759" s="261"/>
      <c r="Z759" s="237" t="str">
        <f>BIN2HEX(RIGHT((LEFT(Z754,20)),4))</f>
        <v>0</v>
      </c>
    </row>
    <row r="760" spans="2:26" ht="13.5" thickBot="1">
      <c r="B760" s="266" t="s">
        <v>18</v>
      </c>
      <c r="C760" s="267" t="str">
        <f>CONCATENATE("0x",Z755,Z756,Z757,Z758,Z759,Z760,Z761,Z762)</f>
        <v>0x00000000</v>
      </c>
      <c r="Z760" s="237" t="str">
        <f>BIN2HEX(RIGHT((LEFT(Z754,24)),4))</f>
        <v>0</v>
      </c>
    </row>
    <row r="761" spans="2:26">
      <c r="I761" s="278" t="s">
        <v>288</v>
      </c>
      <c r="J761" s="278"/>
      <c r="Z761" s="237" t="str">
        <f>BIN2HEX(RIGHT((LEFT(Z754,28)),4))</f>
        <v>0</v>
      </c>
    </row>
    <row r="762" spans="2:26">
      <c r="I762" s="278">
        <v>1333</v>
      </c>
      <c r="J762" s="278">
        <v>0</v>
      </c>
      <c r="Z762" s="237" t="str">
        <f>BIN2HEX(RIGHT((LEFT(Z754,33)),4))</f>
        <v>0</v>
      </c>
    </row>
    <row r="763" spans="2:26">
      <c r="I763" s="278">
        <v>1600</v>
      </c>
      <c r="J763" s="278">
        <v>0</v>
      </c>
    </row>
    <row r="764" spans="2:26">
      <c r="I764" s="278">
        <v>1866</v>
      </c>
      <c r="J764" s="278">
        <v>1</v>
      </c>
    </row>
    <row r="765" spans="2:26">
      <c r="I765" s="278">
        <v>2133</v>
      </c>
      <c r="J765" s="278">
        <v>2</v>
      </c>
    </row>
    <row r="766" spans="2:26">
      <c r="I766" s="278">
        <v>2400</v>
      </c>
      <c r="J766" s="278">
        <v>3</v>
      </c>
    </row>
    <row r="767" spans="2:26">
      <c r="I767" s="278">
        <v>2133</v>
      </c>
      <c r="J767" s="278">
        <v>4</v>
      </c>
    </row>
    <row r="768" spans="2:26">
      <c r="I768" s="278">
        <v>2400</v>
      </c>
      <c r="J768" s="278">
        <v>5</v>
      </c>
    </row>
    <row r="769" spans="2:26">
      <c r="Z769" s="248" t="s">
        <v>289</v>
      </c>
    </row>
    <row r="770" spans="2:26" ht="13.5" thickBot="1">
      <c r="Z770" s="237" t="str">
        <f>CONCATENATE(C775,D775,E775,F775,G775,H775,I775,J775,K775,L775)</f>
        <v>00000000000000000000000000100000</v>
      </c>
    </row>
    <row r="771" spans="2:26" ht="13.5" thickBot="1">
      <c r="B771" s="245" t="s">
        <v>857</v>
      </c>
      <c r="C771" s="246"/>
      <c r="D771" s="246"/>
      <c r="E771" s="246"/>
      <c r="F771" s="246"/>
      <c r="G771" s="246"/>
      <c r="H771" s="246"/>
      <c r="I771" s="246"/>
      <c r="J771" s="246"/>
      <c r="K771" s="246"/>
      <c r="L771" s="246"/>
      <c r="M771" s="276"/>
      <c r="N771" s="248"/>
      <c r="O771" s="248"/>
      <c r="P771" s="248"/>
      <c r="Q771" s="248"/>
      <c r="R771" s="248"/>
      <c r="S771" s="248"/>
      <c r="T771" s="248"/>
      <c r="U771" s="248"/>
      <c r="V771" s="248"/>
      <c r="W771" s="248"/>
      <c r="X771" s="248"/>
      <c r="Y771" s="248"/>
      <c r="Z771" s="237" t="str">
        <f>BIN2HEX(RIGHT((LEFT(Z770,4)),4))</f>
        <v>0</v>
      </c>
    </row>
    <row r="772" spans="2:26" ht="13.5" thickTop="1">
      <c r="B772" s="249"/>
      <c r="C772" s="268" t="s">
        <v>255</v>
      </c>
      <c r="D772" s="251" t="s">
        <v>256</v>
      </c>
      <c r="E772" s="251" t="s">
        <v>290</v>
      </c>
      <c r="F772" s="251" t="s">
        <v>291</v>
      </c>
      <c r="G772" s="251" t="s">
        <v>292</v>
      </c>
      <c r="H772" s="251" t="s">
        <v>293</v>
      </c>
      <c r="I772" s="251" t="s">
        <v>294</v>
      </c>
      <c r="J772" s="251" t="s">
        <v>295</v>
      </c>
      <c r="K772" s="251" t="s">
        <v>296</v>
      </c>
      <c r="L772" s="251" t="s">
        <v>297</v>
      </c>
      <c r="M772" s="271"/>
      <c r="N772" s="272"/>
      <c r="O772" s="272"/>
      <c r="P772" s="272"/>
      <c r="Q772" s="272"/>
      <c r="R772" s="272"/>
      <c r="S772" s="272"/>
      <c r="T772" s="272"/>
      <c r="U772" s="272"/>
      <c r="V772" s="272"/>
      <c r="W772" s="272"/>
      <c r="X772" s="272"/>
      <c r="Y772" s="272"/>
      <c r="Z772" s="237" t="str">
        <f>BIN2HEX(RIGHT((LEFT(Z770,8)),4))</f>
        <v>0</v>
      </c>
    </row>
    <row r="773" spans="2:26">
      <c r="B773" s="255" t="s">
        <v>189</v>
      </c>
      <c r="C773" s="256">
        <v>16</v>
      </c>
      <c r="D773" s="257">
        <v>3</v>
      </c>
      <c r="E773" s="257">
        <v>2</v>
      </c>
      <c r="F773" s="257">
        <v>2</v>
      </c>
      <c r="G773" s="257">
        <v>3</v>
      </c>
      <c r="H773" s="257">
        <v>1</v>
      </c>
      <c r="I773" s="257">
        <v>1</v>
      </c>
      <c r="J773" s="257">
        <v>1</v>
      </c>
      <c r="K773" s="257">
        <v>1</v>
      </c>
      <c r="L773" s="257">
        <v>2</v>
      </c>
      <c r="M773" s="274"/>
      <c r="N773" s="272"/>
      <c r="O773" s="272"/>
      <c r="P773" s="272"/>
      <c r="Q773" s="272"/>
      <c r="R773" s="272"/>
      <c r="S773" s="272"/>
      <c r="T773" s="272"/>
      <c r="U773" s="272"/>
      <c r="V773" s="272"/>
      <c r="W773" s="272"/>
      <c r="X773" s="272"/>
      <c r="Y773" s="272"/>
      <c r="Z773" s="237" t="str">
        <f>BIN2HEX(RIGHT((LEFT(Z770,12)),4))</f>
        <v>0</v>
      </c>
    </row>
    <row r="774" spans="2:26">
      <c r="B774" s="262" t="s">
        <v>16</v>
      </c>
      <c r="C774" s="263">
        <v>0</v>
      </c>
      <c r="D774" s="259">
        <v>0</v>
      </c>
      <c r="E774" s="259">
        <v>0</v>
      </c>
      <c r="F774" s="259">
        <v>0</v>
      </c>
      <c r="G774" s="259">
        <v>0</v>
      </c>
      <c r="H774" s="259">
        <v>1</v>
      </c>
      <c r="I774" s="259">
        <v>0</v>
      </c>
      <c r="J774" s="259">
        <v>0</v>
      </c>
      <c r="K774" s="259">
        <v>0</v>
      </c>
      <c r="L774" s="259">
        <v>0</v>
      </c>
      <c r="M774" s="261"/>
      <c r="N774" s="261"/>
      <c r="O774" s="261"/>
      <c r="P774" s="261"/>
      <c r="Q774" s="261"/>
      <c r="R774" s="261"/>
      <c r="S774" s="261"/>
      <c r="T774" s="261"/>
      <c r="U774" s="261"/>
      <c r="V774" s="261"/>
      <c r="W774" s="261"/>
      <c r="X774" s="261"/>
      <c r="Y774" s="261"/>
      <c r="Z774" s="237" t="str">
        <f>BIN2HEX(RIGHT((LEFT(Z770,16)),4))</f>
        <v>0</v>
      </c>
    </row>
    <row r="775" spans="2:26" ht="13.5" thickBot="1">
      <c r="B775" s="264" t="s">
        <v>17</v>
      </c>
      <c r="C775" s="277" t="s">
        <v>257</v>
      </c>
      <c r="D775" s="265" t="str">
        <f t="shared" ref="D775:L775" si="39">HEX2BIN(D774,D773)</f>
        <v>000</v>
      </c>
      <c r="E775" s="265" t="str">
        <f t="shared" si="39"/>
        <v>00</v>
      </c>
      <c r="F775" s="265" t="str">
        <f t="shared" si="39"/>
        <v>00</v>
      </c>
      <c r="G775" s="265" t="str">
        <f t="shared" si="39"/>
        <v>000</v>
      </c>
      <c r="H775" s="265" t="str">
        <f t="shared" si="39"/>
        <v>1</v>
      </c>
      <c r="I775" s="265" t="str">
        <f t="shared" si="39"/>
        <v>0</v>
      </c>
      <c r="J775" s="265" t="str">
        <f t="shared" si="39"/>
        <v>0</v>
      </c>
      <c r="K775" s="265" t="str">
        <f t="shared" si="39"/>
        <v>0</v>
      </c>
      <c r="L775" s="265" t="str">
        <f t="shared" si="39"/>
        <v>00</v>
      </c>
      <c r="M775" s="261"/>
      <c r="N775" s="261"/>
      <c r="O775" s="261"/>
      <c r="P775" s="261"/>
      <c r="Q775" s="261"/>
      <c r="R775" s="261"/>
      <c r="S775" s="261"/>
      <c r="T775" s="261"/>
      <c r="U775" s="261"/>
      <c r="V775" s="261"/>
      <c r="W775" s="261"/>
      <c r="X775" s="261"/>
      <c r="Y775" s="261"/>
      <c r="Z775" s="237" t="str">
        <f>BIN2HEX(RIGHT((LEFT(Z770,20)),4))</f>
        <v>0</v>
      </c>
    </row>
    <row r="776" spans="2:26" ht="13.5" thickBot="1">
      <c r="B776" s="266" t="s">
        <v>18</v>
      </c>
      <c r="C776" s="267" t="str">
        <f>CONCATENATE("0x",Z771,Z772,Z773,Z774,Z775,Z776,Z777,Z778)</f>
        <v>0x00000020</v>
      </c>
      <c r="Z776" s="237" t="str">
        <f>BIN2HEX(RIGHT((LEFT(Z770,24)),4))</f>
        <v>0</v>
      </c>
    </row>
    <row r="777" spans="2:26">
      <c r="Z777" s="237" t="str">
        <f>BIN2HEX(RIGHT((LEFT(Z770,28)),4))</f>
        <v>2</v>
      </c>
    </row>
    <row r="778" spans="2:26">
      <c r="Z778" s="237" t="str">
        <f>BIN2HEX(RIGHT((LEFT(Z770,33)),4))</f>
        <v>0</v>
      </c>
    </row>
    <row r="779" spans="2:26">
      <c r="Z779" s="248" t="s">
        <v>298</v>
      </c>
    </row>
    <row r="780" spans="2:26" ht="13.5" thickBot="1">
      <c r="Z780" s="237" t="str">
        <f>CONCATENATE(C785,D785,E785,F785,G785,H785,I785,J785,K785,L785,M785,N785,O785)</f>
        <v>00000000000000000000000000000000</v>
      </c>
    </row>
    <row r="781" spans="2:26" ht="13.5" thickBot="1">
      <c r="B781" s="245" t="s">
        <v>858</v>
      </c>
      <c r="C781" s="246"/>
      <c r="D781" s="246"/>
      <c r="E781" s="246"/>
      <c r="F781" s="246"/>
      <c r="G781" s="246"/>
      <c r="H781" s="246"/>
      <c r="I781" s="246"/>
      <c r="J781" s="246"/>
      <c r="K781" s="246"/>
      <c r="L781" s="246"/>
      <c r="M781" s="246"/>
      <c r="N781" s="246"/>
      <c r="O781" s="246"/>
      <c r="P781" s="248"/>
      <c r="Q781" s="248"/>
      <c r="R781" s="248"/>
      <c r="S781" s="248"/>
      <c r="T781" s="248"/>
      <c r="U781" s="248"/>
      <c r="V781" s="248"/>
      <c r="W781" s="248"/>
      <c r="X781" s="248"/>
      <c r="Y781" s="248"/>
      <c r="Z781" s="237" t="str">
        <f>BIN2HEX(RIGHT((LEFT(Z780,4)),4))</f>
        <v>0</v>
      </c>
    </row>
    <row r="782" spans="2:26" ht="13.5" thickTop="1">
      <c r="B782" s="249"/>
      <c r="C782" s="268" t="s">
        <v>255</v>
      </c>
      <c r="D782" s="251" t="s">
        <v>256</v>
      </c>
      <c r="E782" s="251" t="s">
        <v>299</v>
      </c>
      <c r="F782" s="251" t="s">
        <v>300</v>
      </c>
      <c r="G782" s="251" t="s">
        <v>301</v>
      </c>
      <c r="H782" s="251" t="s">
        <v>302</v>
      </c>
      <c r="I782" s="251" t="s">
        <v>303</v>
      </c>
      <c r="J782" s="251" t="s">
        <v>304</v>
      </c>
      <c r="K782" s="251" t="s">
        <v>305</v>
      </c>
      <c r="L782" s="251" t="s">
        <v>306</v>
      </c>
      <c r="M782" s="251" t="s">
        <v>307</v>
      </c>
      <c r="N782" s="251" t="s">
        <v>308</v>
      </c>
      <c r="O782" s="251" t="s">
        <v>309</v>
      </c>
      <c r="P782" s="272"/>
      <c r="Q782" s="272"/>
      <c r="R782" s="272"/>
      <c r="S782" s="272"/>
      <c r="T782" s="272"/>
      <c r="U782" s="272"/>
      <c r="V782" s="272"/>
      <c r="W782" s="272"/>
      <c r="X782" s="272"/>
      <c r="Y782" s="272"/>
      <c r="Z782" s="237" t="str">
        <f>BIN2HEX(RIGHT((LEFT(Z780,8)),4))</f>
        <v>0</v>
      </c>
    </row>
    <row r="783" spans="2:26">
      <c r="B783" s="255" t="s">
        <v>189</v>
      </c>
      <c r="C783" s="256">
        <v>16</v>
      </c>
      <c r="D783" s="257">
        <v>3</v>
      </c>
      <c r="E783" s="257">
        <v>1</v>
      </c>
      <c r="F783" s="257">
        <v>1</v>
      </c>
      <c r="G783" s="257">
        <v>1</v>
      </c>
      <c r="H783" s="257">
        <v>1</v>
      </c>
      <c r="I783" s="257">
        <v>3</v>
      </c>
      <c r="J783" s="257">
        <v>1</v>
      </c>
      <c r="K783" s="257">
        <v>1</v>
      </c>
      <c r="L783" s="257">
        <v>1</v>
      </c>
      <c r="M783" s="257">
        <v>1</v>
      </c>
      <c r="N783" s="257">
        <v>1</v>
      </c>
      <c r="O783" s="257">
        <v>1</v>
      </c>
      <c r="P783" s="272"/>
      <c r="Q783" s="272"/>
      <c r="R783" s="272"/>
      <c r="S783" s="272"/>
      <c r="T783" s="272"/>
      <c r="U783" s="272"/>
      <c r="V783" s="272"/>
      <c r="W783" s="272"/>
      <c r="X783" s="272"/>
      <c r="Y783" s="272"/>
      <c r="Z783" s="237" t="str">
        <f>BIN2HEX(RIGHT((LEFT(Z780,12)),4))</f>
        <v>0</v>
      </c>
    </row>
    <row r="784" spans="2:26">
      <c r="B784" s="262" t="s">
        <v>16</v>
      </c>
      <c r="C784" s="263">
        <v>0</v>
      </c>
      <c r="D784" s="259">
        <v>0</v>
      </c>
      <c r="E784" s="259" t="str">
        <f>DEC2HEX(CEILING(tWPRE/tCK,1)-1,1)</f>
        <v>0</v>
      </c>
      <c r="F784" s="259" t="str">
        <f>DEC2HEX(CEILING(tRPRE/tCK,1)-1,1)</f>
        <v>0</v>
      </c>
      <c r="G784" s="259">
        <v>0</v>
      </c>
      <c r="H784" s="259">
        <v>0</v>
      </c>
      <c r="I784" s="259">
        <v>0</v>
      </c>
      <c r="J784" s="259">
        <v>0</v>
      </c>
      <c r="K784" s="259">
        <v>0</v>
      </c>
      <c r="L784" s="259">
        <v>0</v>
      </c>
      <c r="M784" s="259">
        <v>0</v>
      </c>
      <c r="N784" s="259">
        <v>0</v>
      </c>
      <c r="O784" s="259">
        <v>0</v>
      </c>
      <c r="P784" s="261"/>
      <c r="Q784" s="261"/>
      <c r="R784" s="261"/>
      <c r="S784" s="261"/>
      <c r="T784" s="261"/>
      <c r="U784" s="261"/>
      <c r="V784" s="261"/>
      <c r="W784" s="261"/>
      <c r="X784" s="261"/>
      <c r="Y784" s="261"/>
      <c r="Z784" s="237" t="str">
        <f>BIN2HEX(RIGHT((LEFT(Z780,16)),4))</f>
        <v>0</v>
      </c>
    </row>
    <row r="785" spans="2:26" ht="13.5" thickBot="1">
      <c r="B785" s="264" t="s">
        <v>17</v>
      </c>
      <c r="C785" s="277" t="s">
        <v>257</v>
      </c>
      <c r="D785" s="265" t="str">
        <f t="shared" ref="D785:O785" si="40">HEX2BIN(D784,D783)</f>
        <v>000</v>
      </c>
      <c r="E785" s="265" t="str">
        <f t="shared" si="40"/>
        <v>0</v>
      </c>
      <c r="F785" s="265" t="str">
        <f t="shared" si="40"/>
        <v>0</v>
      </c>
      <c r="G785" s="265" t="str">
        <f t="shared" si="40"/>
        <v>0</v>
      </c>
      <c r="H785" s="265" t="str">
        <f t="shared" si="40"/>
        <v>0</v>
      </c>
      <c r="I785" s="265" t="str">
        <f t="shared" si="40"/>
        <v>000</v>
      </c>
      <c r="J785" s="265" t="str">
        <f t="shared" si="40"/>
        <v>0</v>
      </c>
      <c r="K785" s="265" t="str">
        <f t="shared" si="40"/>
        <v>0</v>
      </c>
      <c r="L785" s="265" t="str">
        <f t="shared" si="40"/>
        <v>0</v>
      </c>
      <c r="M785" s="265" t="str">
        <f t="shared" si="40"/>
        <v>0</v>
      </c>
      <c r="N785" s="265" t="str">
        <f t="shared" si="40"/>
        <v>0</v>
      </c>
      <c r="O785" s="265" t="str">
        <f t="shared" si="40"/>
        <v>0</v>
      </c>
      <c r="P785" s="261"/>
      <c r="Q785" s="261"/>
      <c r="R785" s="261"/>
      <c r="S785" s="261"/>
      <c r="T785" s="261"/>
      <c r="U785" s="261"/>
      <c r="V785" s="261"/>
      <c r="W785" s="261"/>
      <c r="X785" s="261"/>
      <c r="Y785" s="261"/>
      <c r="Z785" s="237" t="str">
        <f>BIN2HEX(RIGHT((LEFT(Z780,20)),4))</f>
        <v>0</v>
      </c>
    </row>
    <row r="786" spans="2:26" ht="13.5" thickBot="1">
      <c r="B786" s="266" t="s">
        <v>18</v>
      </c>
      <c r="C786" s="267" t="str">
        <f>CONCATENATE("0x",Z781,Z782,Z783,Z784,Z785,Z786,Z787,Z788)</f>
        <v>0x00000000</v>
      </c>
      <c r="I786" s="278" t="s">
        <v>311</v>
      </c>
      <c r="J786" s="278"/>
      <c r="Z786" s="237" t="str">
        <f>BIN2HEX(RIGHT((LEFT(Z780,24)),4))</f>
        <v>0</v>
      </c>
    </row>
    <row r="787" spans="2:26">
      <c r="I787" s="278">
        <v>3</v>
      </c>
      <c r="J787" s="278">
        <v>1</v>
      </c>
      <c r="Z787" s="237" t="str">
        <f>BIN2HEX(RIGHT((LEFT(Z780,28)),4))</f>
        <v>0</v>
      </c>
    </row>
    <row r="788" spans="2:26">
      <c r="I788" s="278">
        <v>4</v>
      </c>
      <c r="J788" s="278">
        <v>2</v>
      </c>
      <c r="Z788" s="237" t="str">
        <f>BIN2HEX(RIGHT((LEFT(Z780,33)),4))</f>
        <v>0</v>
      </c>
    </row>
    <row r="789" spans="2:26">
      <c r="I789" s="278">
        <v>5</v>
      </c>
      <c r="J789" s="278">
        <v>3</v>
      </c>
    </row>
    <row r="790" spans="2:26">
      <c r="I790" s="278">
        <v>6</v>
      </c>
      <c r="J790" s="278">
        <v>4</v>
      </c>
    </row>
    <row r="791" spans="2:26">
      <c r="I791" s="278">
        <v>8</v>
      </c>
      <c r="J791" s="278">
        <v>5</v>
      </c>
    </row>
    <row r="792" spans="2:26">
      <c r="Z792" s="248" t="s">
        <v>420</v>
      </c>
    </row>
    <row r="793" spans="2:26" ht="13.5" thickBot="1">
      <c r="Z793" s="237" t="str">
        <f>CONCATENATE(C798,D798,E798,F798,G798,H798,I798,J798,K798,L798)</f>
        <v>00000000000000000000010010000000</v>
      </c>
    </row>
    <row r="794" spans="2:26" ht="13.5" thickBot="1">
      <c r="B794" s="245" t="s">
        <v>859</v>
      </c>
      <c r="C794" s="246"/>
      <c r="D794" s="246"/>
      <c r="E794" s="246"/>
      <c r="F794" s="246"/>
      <c r="G794" s="246"/>
      <c r="H794" s="246"/>
      <c r="I794" s="246"/>
      <c r="J794" s="246"/>
      <c r="K794" s="246"/>
      <c r="L794" s="246"/>
      <c r="M794" s="276"/>
      <c r="N794" s="248"/>
      <c r="O794" s="248"/>
      <c r="P794" s="248"/>
      <c r="Q794" s="248"/>
      <c r="R794" s="248"/>
      <c r="S794" s="248"/>
      <c r="T794" s="248"/>
      <c r="U794" s="248"/>
      <c r="V794" s="248"/>
      <c r="W794" s="248"/>
      <c r="X794" s="248"/>
      <c r="Y794" s="248"/>
      <c r="Z794" s="237" t="str">
        <f>BIN2HEX(RIGHT((LEFT(Z793,4)),4))</f>
        <v>0</v>
      </c>
    </row>
    <row r="795" spans="2:26" ht="13.5" thickTop="1">
      <c r="B795" s="249"/>
      <c r="C795" s="268" t="s">
        <v>422</v>
      </c>
      <c r="D795" s="251" t="s">
        <v>423</v>
      </c>
      <c r="E795" s="251" t="s">
        <v>424</v>
      </c>
      <c r="F795" s="251" t="s">
        <v>425</v>
      </c>
      <c r="G795" s="251" t="s">
        <v>426</v>
      </c>
      <c r="H795" s="251" t="s">
        <v>716</v>
      </c>
      <c r="I795" s="251" t="s">
        <v>427</v>
      </c>
      <c r="J795" s="251" t="s">
        <v>428</v>
      </c>
      <c r="K795" s="251" t="s">
        <v>429</v>
      </c>
      <c r="L795" s="251" t="s">
        <v>430</v>
      </c>
      <c r="M795" s="271"/>
      <c r="N795" s="272"/>
      <c r="O795" s="272"/>
      <c r="P795" s="272"/>
      <c r="Q795" s="272"/>
      <c r="R795" s="272"/>
      <c r="S795" s="272"/>
      <c r="T795" s="272"/>
      <c r="U795" s="272"/>
      <c r="V795" s="272"/>
      <c r="W795" s="272"/>
      <c r="X795" s="272"/>
      <c r="Y795" s="272"/>
      <c r="Z795" s="237" t="str">
        <f>BIN2HEX(RIGHT((LEFT(Z793,8)),4))</f>
        <v>0</v>
      </c>
    </row>
    <row r="796" spans="2:26">
      <c r="B796" s="255" t="s">
        <v>189</v>
      </c>
      <c r="C796" s="256">
        <v>19</v>
      </c>
      <c r="D796" s="257">
        <v>1</v>
      </c>
      <c r="E796" s="257">
        <v>1</v>
      </c>
      <c r="F796" s="257">
        <v>1</v>
      </c>
      <c r="G796" s="257">
        <v>1</v>
      </c>
      <c r="H796" s="257">
        <v>3</v>
      </c>
      <c r="I796" s="257">
        <v>1</v>
      </c>
      <c r="J796" s="257">
        <v>1</v>
      </c>
      <c r="K796" s="257">
        <v>1</v>
      </c>
      <c r="L796" s="257">
        <v>3</v>
      </c>
      <c r="M796" s="274"/>
      <c r="N796" s="272"/>
      <c r="O796" s="272"/>
      <c r="P796" s="272"/>
      <c r="Q796" s="272"/>
      <c r="R796" s="272"/>
      <c r="S796" s="272"/>
      <c r="T796" s="272"/>
      <c r="U796" s="272"/>
      <c r="V796" s="272"/>
      <c r="W796" s="272"/>
      <c r="X796" s="272"/>
      <c r="Y796" s="272"/>
      <c r="Z796" s="237" t="str">
        <f>BIN2HEX(RIGHT((LEFT(Z793,12)),4))</f>
        <v>0</v>
      </c>
    </row>
    <row r="797" spans="2:26">
      <c r="B797" s="262" t="s">
        <v>16</v>
      </c>
      <c r="C797" s="263">
        <v>0</v>
      </c>
      <c r="D797" s="259">
        <v>0</v>
      </c>
      <c r="E797" s="259">
        <v>0</v>
      </c>
      <c r="F797" s="259">
        <v>1</v>
      </c>
      <c r="G797" s="259">
        <v>0</v>
      </c>
      <c r="H797" s="259">
        <v>2</v>
      </c>
      <c r="I797" s="259">
        <v>0</v>
      </c>
      <c r="J797" s="259">
        <v>0</v>
      </c>
      <c r="K797" s="259">
        <v>0</v>
      </c>
      <c r="L797" s="259">
        <f>IF(PL=0,0,IF(PL=4,1,"ERROR"))</f>
        <v>0</v>
      </c>
      <c r="M797" s="261"/>
      <c r="N797" s="261"/>
      <c r="O797" s="261"/>
      <c r="P797" s="261"/>
      <c r="Q797" s="261"/>
      <c r="R797" s="261"/>
      <c r="S797" s="261"/>
      <c r="T797" s="261"/>
      <c r="U797" s="261"/>
      <c r="V797" s="261"/>
      <c r="W797" s="261"/>
      <c r="X797" s="261"/>
      <c r="Y797" s="261"/>
      <c r="Z797" s="237" t="str">
        <f>BIN2HEX(RIGHT((LEFT(Z793,16)),4))</f>
        <v>0</v>
      </c>
    </row>
    <row r="798" spans="2:26" ht="13.5" thickBot="1">
      <c r="B798" s="264" t="s">
        <v>17</v>
      </c>
      <c r="C798" s="277" t="s">
        <v>431</v>
      </c>
      <c r="D798" s="265" t="str">
        <f t="shared" ref="D798:L798" si="41">HEX2BIN(D797,D796)</f>
        <v>0</v>
      </c>
      <c r="E798" s="265" t="str">
        <f t="shared" si="41"/>
        <v>0</v>
      </c>
      <c r="F798" s="265" t="str">
        <f t="shared" si="41"/>
        <v>1</v>
      </c>
      <c r="G798" s="265" t="str">
        <f t="shared" si="41"/>
        <v>0</v>
      </c>
      <c r="H798" s="265" t="str">
        <f t="shared" si="41"/>
        <v>010</v>
      </c>
      <c r="I798" s="265" t="str">
        <f t="shared" si="41"/>
        <v>0</v>
      </c>
      <c r="J798" s="265" t="str">
        <f t="shared" si="41"/>
        <v>0</v>
      </c>
      <c r="K798" s="265" t="str">
        <f t="shared" si="41"/>
        <v>0</v>
      </c>
      <c r="L798" s="265" t="str">
        <f t="shared" si="41"/>
        <v>000</v>
      </c>
      <c r="M798" s="261"/>
      <c r="N798" s="261"/>
      <c r="O798" s="261"/>
      <c r="P798" s="261"/>
      <c r="Q798" s="261"/>
      <c r="R798" s="261"/>
      <c r="S798" s="261"/>
      <c r="T798" s="261"/>
      <c r="U798" s="261"/>
      <c r="V798" s="261"/>
      <c r="W798" s="261"/>
      <c r="X798" s="261"/>
      <c r="Y798" s="261"/>
      <c r="Z798" s="237" t="str">
        <f>BIN2HEX(RIGHT((LEFT(Z793,20)),4))</f>
        <v>0</v>
      </c>
    </row>
    <row r="799" spans="2:26" ht="13.5" thickBot="1">
      <c r="B799" s="266" t="s">
        <v>18</v>
      </c>
      <c r="C799" s="267" t="str">
        <f>CONCATENATE("0x",Z794,Z795,Z796,Z797,Z798,Z799,Z800,Z801)</f>
        <v>0x00000480</v>
      </c>
      <c r="Z799" s="237" t="str">
        <f>BIN2HEX(RIGHT((LEFT(Z793,24)),4))</f>
        <v>4</v>
      </c>
    </row>
    <row r="800" spans="2:26">
      <c r="Z800" s="237" t="str">
        <f>BIN2HEX(RIGHT((LEFT(Z793,28)),4))</f>
        <v>8</v>
      </c>
    </row>
    <row r="801" spans="2:26">
      <c r="Z801" s="237" t="str">
        <f>BIN2HEX(RIGHT((LEFT(Z793,33)),4))</f>
        <v>0</v>
      </c>
    </row>
    <row r="803" spans="2:26">
      <c r="Z803" s="248" t="s">
        <v>635</v>
      </c>
    </row>
    <row r="804" spans="2:26" ht="13.5" thickBot="1">
      <c r="Z804" s="237" t="str">
        <f>CONCATENATE(C809,D809,E809,F809,G809,H809,I809)</f>
        <v>00000000000000000000000010010111</v>
      </c>
    </row>
    <row r="805" spans="2:26" ht="13.5" thickBot="1">
      <c r="B805" s="245" t="s">
        <v>860</v>
      </c>
      <c r="C805" s="246"/>
      <c r="D805" s="246"/>
      <c r="E805" s="246"/>
      <c r="F805" s="246"/>
      <c r="G805" s="246"/>
      <c r="H805" s="246"/>
      <c r="I805" s="246"/>
      <c r="J805" s="276"/>
      <c r="K805" s="276"/>
      <c r="L805" s="276"/>
      <c r="M805" s="276"/>
      <c r="N805" s="248"/>
      <c r="O805" s="248"/>
      <c r="P805" s="248"/>
      <c r="Q805" s="248"/>
      <c r="R805" s="248"/>
      <c r="S805" s="248"/>
      <c r="T805" s="248"/>
      <c r="U805" s="248"/>
      <c r="V805" s="248"/>
      <c r="W805" s="248"/>
      <c r="X805" s="248"/>
      <c r="Y805" s="248"/>
      <c r="Z805" s="237" t="str">
        <f>BIN2HEX(RIGHT((LEFT(Z804,4)),4))</f>
        <v>0</v>
      </c>
    </row>
    <row r="806" spans="2:26" ht="13.5" thickTop="1">
      <c r="B806" s="249"/>
      <c r="C806" s="268" t="s">
        <v>255</v>
      </c>
      <c r="D806" s="251" t="s">
        <v>256</v>
      </c>
      <c r="E806" s="251" t="s">
        <v>620</v>
      </c>
      <c r="F806" s="251" t="s">
        <v>131</v>
      </c>
      <c r="G806" s="251" t="s">
        <v>621</v>
      </c>
      <c r="H806" s="251" t="s">
        <v>622</v>
      </c>
      <c r="I806" s="251" t="s">
        <v>623</v>
      </c>
      <c r="J806" s="271"/>
      <c r="K806" s="271"/>
      <c r="L806" s="271"/>
      <c r="M806" s="271"/>
      <c r="N806" s="272"/>
      <c r="O806" s="272"/>
      <c r="P806" s="272"/>
      <c r="Q806" s="272"/>
      <c r="R806" s="272"/>
      <c r="S806" s="272"/>
      <c r="T806" s="272"/>
      <c r="U806" s="272"/>
      <c r="V806" s="272"/>
      <c r="W806" s="272"/>
      <c r="X806" s="272"/>
      <c r="Y806" s="272"/>
      <c r="Z806" s="237" t="str">
        <f>BIN2HEX(RIGHT((LEFT(Z804,8)),4))</f>
        <v>0</v>
      </c>
    </row>
    <row r="807" spans="2:26">
      <c r="B807" s="255" t="s">
        <v>189</v>
      </c>
      <c r="C807" s="256">
        <v>16</v>
      </c>
      <c r="D807" s="257">
        <v>3</v>
      </c>
      <c r="E807" s="257">
        <v>3</v>
      </c>
      <c r="F807" s="257">
        <v>2</v>
      </c>
      <c r="G807" s="257">
        <v>1</v>
      </c>
      <c r="H807" s="257">
        <v>1</v>
      </c>
      <c r="I807" s="257">
        <v>6</v>
      </c>
      <c r="J807" s="274"/>
      <c r="K807" s="274"/>
      <c r="L807" s="274"/>
      <c r="M807" s="274"/>
      <c r="N807" s="272"/>
      <c r="O807" s="272"/>
      <c r="P807" s="272"/>
      <c r="Q807" s="272"/>
      <c r="R807" s="272"/>
      <c r="S807" s="272"/>
      <c r="T807" s="272"/>
      <c r="U807" s="272"/>
      <c r="V807" s="272"/>
      <c r="W807" s="272"/>
      <c r="X807" s="272"/>
      <c r="Y807" s="272"/>
      <c r="Z807" s="237" t="str">
        <f>BIN2HEX(RIGHT((LEFT(Z804,12)),4))</f>
        <v>0</v>
      </c>
    </row>
    <row r="808" spans="2:26">
      <c r="B808" s="262" t="s">
        <v>16</v>
      </c>
      <c r="C808" s="263">
        <v>0</v>
      </c>
      <c r="D808" s="259">
        <v>0</v>
      </c>
      <c r="E808" s="259">
        <f>IF(Data_Rate&lt;=1333,0,1)</f>
        <v>0</v>
      </c>
      <c r="F808" s="259">
        <v>0</v>
      </c>
      <c r="G808" s="259">
        <v>1</v>
      </c>
      <c r="H808" s="259" t="str">
        <f>MR6_6</f>
        <v>0</v>
      </c>
      <c r="I808" s="259" t="str">
        <f>MR6_5_0</f>
        <v>17</v>
      </c>
      <c r="J808" s="261"/>
      <c r="K808" s="261"/>
      <c r="L808" s="261"/>
      <c r="M808" s="261"/>
      <c r="N808" s="261"/>
      <c r="O808" s="261"/>
      <c r="P808" s="261"/>
      <c r="Q808" s="261"/>
      <c r="R808" s="261"/>
      <c r="S808" s="261"/>
      <c r="T808" s="261"/>
      <c r="U808" s="261"/>
      <c r="V808" s="261"/>
      <c r="W808" s="261"/>
      <c r="X808" s="261"/>
      <c r="Y808" s="261"/>
      <c r="Z808" s="237" t="str">
        <f>BIN2HEX(RIGHT((LEFT(Z804,16)),4))</f>
        <v>0</v>
      </c>
    </row>
    <row r="809" spans="2:26" ht="13.5" thickBot="1">
      <c r="B809" s="264" t="s">
        <v>17</v>
      </c>
      <c r="C809" s="277" t="s">
        <v>257</v>
      </c>
      <c r="D809" s="265" t="str">
        <f t="shared" ref="D809:I809" si="42">HEX2BIN(D808,D807)</f>
        <v>000</v>
      </c>
      <c r="E809" s="265" t="str">
        <f t="shared" si="42"/>
        <v>000</v>
      </c>
      <c r="F809" s="265" t="str">
        <f t="shared" si="42"/>
        <v>00</v>
      </c>
      <c r="G809" s="265" t="str">
        <f t="shared" si="42"/>
        <v>1</v>
      </c>
      <c r="H809" s="265" t="str">
        <f t="shared" si="42"/>
        <v>0</v>
      </c>
      <c r="I809" s="265" t="str">
        <f t="shared" si="42"/>
        <v>010111</v>
      </c>
      <c r="J809" s="261"/>
      <c r="K809" s="261"/>
      <c r="L809" s="261"/>
      <c r="M809" s="261"/>
      <c r="N809" s="261"/>
      <c r="O809" s="261"/>
      <c r="P809" s="261"/>
      <c r="Q809" s="261"/>
      <c r="R809" s="261"/>
      <c r="S809" s="261"/>
      <c r="T809" s="261"/>
      <c r="U809" s="261"/>
      <c r="V809" s="261"/>
      <c r="W809" s="261"/>
      <c r="X809" s="261"/>
      <c r="Y809" s="261"/>
      <c r="Z809" s="237" t="str">
        <f>BIN2HEX(RIGHT((LEFT(Z804,20)),4))</f>
        <v>0</v>
      </c>
    </row>
    <row r="810" spans="2:26" ht="13.5" thickBot="1">
      <c r="B810" s="266" t="s">
        <v>18</v>
      </c>
      <c r="C810" s="267" t="str">
        <f>CONCATENATE("0x",Z805,Z806,Z807,Z808,Z809,Z810,Z811,Z812)</f>
        <v>0x00000097</v>
      </c>
      <c r="Z810" s="237" t="str">
        <f>BIN2HEX(RIGHT((LEFT(Z804,24)),4))</f>
        <v>0</v>
      </c>
    </row>
    <row r="811" spans="2:26">
      <c r="Z811" s="237" t="str">
        <f>BIN2HEX(RIGHT((LEFT(Z804,28)),4))</f>
        <v>9</v>
      </c>
    </row>
    <row r="812" spans="2:26">
      <c r="Z812" s="237" t="str">
        <f>BIN2HEX(RIGHT((LEFT(Z804,33)),4))</f>
        <v>7</v>
      </c>
    </row>
    <row r="816" spans="2:26">
      <c r="Z816" s="248" t="s">
        <v>1244</v>
      </c>
    </row>
    <row r="817" spans="2:26" ht="13.5" thickBot="1">
      <c r="Z817" s="237" t="e">
        <f>CONCATENATE(C822,D822,E822,F822,G822,H822)</f>
        <v>#NUM!</v>
      </c>
    </row>
    <row r="818" spans="2:26" ht="13.5" thickBot="1">
      <c r="B818" s="245" t="s">
        <v>1370</v>
      </c>
      <c r="C818" s="246"/>
      <c r="D818" s="246"/>
      <c r="E818" s="246"/>
      <c r="F818" s="246"/>
      <c r="G818" s="246"/>
      <c r="H818" s="246"/>
      <c r="I818" s="248"/>
      <c r="J818" s="248"/>
      <c r="K818" s="248"/>
      <c r="L818" s="248"/>
      <c r="M818" s="248"/>
      <c r="N818" s="248"/>
      <c r="O818" s="248"/>
      <c r="P818" s="248"/>
      <c r="Q818" s="248"/>
      <c r="R818" s="248"/>
      <c r="S818" s="248"/>
      <c r="T818" s="248"/>
      <c r="U818" s="248"/>
      <c r="V818" s="248"/>
      <c r="W818" s="248"/>
      <c r="X818" s="248"/>
      <c r="Y818" s="248"/>
      <c r="Z818" s="237" t="e">
        <f>BIN2HEX(RIGHT((LEFT(Z817,4)),4))</f>
        <v>#NUM!</v>
      </c>
    </row>
    <row r="819" spans="2:26" ht="13.5" thickTop="1">
      <c r="B819" s="249"/>
      <c r="C819" s="268" t="s">
        <v>1248</v>
      </c>
      <c r="D819" s="251" t="s">
        <v>1250</v>
      </c>
      <c r="E819" s="251" t="s">
        <v>1247</v>
      </c>
      <c r="F819" s="251" t="s">
        <v>1246</v>
      </c>
      <c r="G819" s="251" t="s">
        <v>1245</v>
      </c>
      <c r="H819" s="251" t="s">
        <v>263</v>
      </c>
      <c r="I819" s="272"/>
      <c r="J819" s="272"/>
      <c r="K819" s="272"/>
      <c r="L819" s="272"/>
      <c r="M819" s="272"/>
      <c r="N819" s="272"/>
      <c r="O819" s="272"/>
      <c r="P819" s="272"/>
      <c r="Q819" s="272"/>
      <c r="R819" s="272"/>
      <c r="S819" s="272"/>
      <c r="T819" s="272"/>
      <c r="U819" s="272"/>
      <c r="V819" s="272"/>
      <c r="W819" s="272"/>
      <c r="X819" s="272"/>
      <c r="Y819" s="272"/>
      <c r="Z819" s="237" t="e">
        <f>BIN2HEX(RIGHT((LEFT(Z817,8)),4))</f>
        <v>#NUM!</v>
      </c>
    </row>
    <row r="820" spans="2:26">
      <c r="B820" s="255" t="s">
        <v>189</v>
      </c>
      <c r="C820" s="256">
        <v>24</v>
      </c>
      <c r="D820" s="257">
        <v>1</v>
      </c>
      <c r="E820" s="257">
        <v>3</v>
      </c>
      <c r="F820" s="257">
        <v>1</v>
      </c>
      <c r="G820" s="257">
        <v>1</v>
      </c>
      <c r="H820" s="257">
        <v>2</v>
      </c>
      <c r="I820" s="272"/>
      <c r="J820" s="272"/>
      <c r="K820" s="272"/>
      <c r="L820" s="272"/>
      <c r="M820" s="272"/>
      <c r="N820" s="272"/>
      <c r="O820" s="272"/>
      <c r="P820" s="272"/>
      <c r="Q820" s="272"/>
      <c r="R820" s="272"/>
      <c r="S820" s="272"/>
      <c r="T820" s="272"/>
      <c r="U820" s="272"/>
      <c r="V820" s="272"/>
      <c r="W820" s="272"/>
      <c r="X820" s="272"/>
      <c r="Y820" s="272"/>
      <c r="Z820" s="237" t="e">
        <f>BIN2HEX(RIGHT((LEFT(Z817,12)),4))</f>
        <v>#NUM!</v>
      </c>
    </row>
    <row r="821" spans="2:26">
      <c r="B821" s="262" t="s">
        <v>16</v>
      </c>
      <c r="C821" s="263">
        <v>0</v>
      </c>
      <c r="D821" s="259">
        <v>0</v>
      </c>
      <c r="E821" s="259">
        <f>IF(AND(DDR_Memory_Frequency&gt;=533,DDR_Memory_Frequency&lt;=800),2,IF(AND(DDR_Memory_Frequency&gt;800,DDR_Memory_Frequency&lt;=1066),3,"ERROR"))</f>
        <v>2</v>
      </c>
      <c r="F821" s="259">
        <v>0</v>
      </c>
      <c r="G821" s="259">
        <v>1</v>
      </c>
      <c r="H821" s="259" t="str">
        <f>IF(Memory_Type="LPDDR4",0,"NA")</f>
        <v>NA</v>
      </c>
      <c r="I821" s="261"/>
      <c r="J821" s="261"/>
      <c r="K821" s="261"/>
      <c r="L821" s="261"/>
      <c r="M821" s="261"/>
      <c r="N821" s="261"/>
      <c r="O821" s="261"/>
      <c r="P821" s="261"/>
      <c r="Q821" s="261"/>
      <c r="R821" s="261"/>
      <c r="S821" s="261"/>
      <c r="T821" s="261"/>
      <c r="U821" s="261"/>
      <c r="V821" s="261"/>
      <c r="W821" s="261"/>
      <c r="X821" s="261"/>
      <c r="Y821" s="261"/>
      <c r="Z821" s="237" t="e">
        <f>BIN2HEX(RIGHT((LEFT(Z817,16)),4))</f>
        <v>#NUM!</v>
      </c>
    </row>
    <row r="822" spans="2:26" ht="13.5" thickBot="1">
      <c r="B822" s="264" t="s">
        <v>17</v>
      </c>
      <c r="C822" s="277" t="s">
        <v>1249</v>
      </c>
      <c r="D822" s="265" t="str">
        <f>HEX2BIN(D821,D820)</f>
        <v>0</v>
      </c>
      <c r="E822" s="265" t="str">
        <f>HEX2BIN(E821,E820)</f>
        <v>010</v>
      </c>
      <c r="F822" s="265" t="str">
        <f>HEX2BIN(F821,F820)</f>
        <v>0</v>
      </c>
      <c r="G822" s="265" t="str">
        <f>HEX2BIN(G821,G820)</f>
        <v>1</v>
      </c>
      <c r="H822" s="265" t="e">
        <f>HEX2BIN(H821,H820)</f>
        <v>#NUM!</v>
      </c>
      <c r="I822" s="261"/>
      <c r="J822" s="261"/>
      <c r="K822" s="261"/>
      <c r="L822" s="261"/>
      <c r="M822" s="261"/>
      <c r="N822" s="261"/>
      <c r="O822" s="261"/>
      <c r="P822" s="261"/>
      <c r="Q822" s="261"/>
      <c r="R822" s="261"/>
      <c r="S822" s="261"/>
      <c r="T822" s="261"/>
      <c r="U822" s="261"/>
      <c r="V822" s="261"/>
      <c r="W822" s="261"/>
      <c r="X822" s="261"/>
      <c r="Y822" s="261"/>
      <c r="Z822" s="237" t="e">
        <f>BIN2HEX(RIGHT((LEFT(Z817,20)),4))</f>
        <v>#NUM!</v>
      </c>
    </row>
    <row r="823" spans="2:26" ht="13.5" thickBot="1">
      <c r="B823" s="266" t="s">
        <v>18</v>
      </c>
      <c r="C823" s="267" t="e">
        <f>CONCATENATE("0x",Z818,Z819,Z820,Z821,Z822,Z823,Z824,Z825)</f>
        <v>#NUM!</v>
      </c>
      <c r="Z823" s="237" t="e">
        <f>BIN2HEX(RIGHT((LEFT(Z817,24)),4))</f>
        <v>#NUM!</v>
      </c>
    </row>
    <row r="824" spans="2:26">
      <c r="Z824" s="237" t="e">
        <f>BIN2HEX(RIGHT((LEFT(Z817,28)),4))</f>
        <v>#NUM!</v>
      </c>
    </row>
    <row r="825" spans="2:26">
      <c r="B825" s="278" t="s">
        <v>268</v>
      </c>
      <c r="C825" s="278" t="s">
        <v>265</v>
      </c>
      <c r="D825" s="278" t="s">
        <v>258</v>
      </c>
      <c r="E825" s="278" t="s">
        <v>269</v>
      </c>
      <c r="F825" s="278" t="s">
        <v>266</v>
      </c>
      <c r="G825" s="278" t="s">
        <v>261</v>
      </c>
      <c r="H825" s="278" t="s">
        <v>267</v>
      </c>
      <c r="Z825" s="237" t="e">
        <f>BIN2HEX(RIGHT((LEFT(Z817,33)),4))</f>
        <v>#NUM!</v>
      </c>
    </row>
    <row r="826" spans="2:26">
      <c r="B826" s="278">
        <v>10</v>
      </c>
      <c r="C826" s="278">
        <v>0</v>
      </c>
      <c r="D826" s="278">
        <v>0</v>
      </c>
      <c r="E826" s="278">
        <v>9</v>
      </c>
      <c r="F826" s="278">
        <v>0</v>
      </c>
      <c r="G826" s="278">
        <v>0</v>
      </c>
      <c r="H826" s="278">
        <v>0</v>
      </c>
    </row>
    <row r="827" spans="2:26">
      <c r="B827" s="278">
        <v>12</v>
      </c>
      <c r="C827" s="278">
        <v>0</v>
      </c>
      <c r="D827" s="278">
        <v>1</v>
      </c>
      <c r="E827" s="278">
        <v>10</v>
      </c>
      <c r="F827" s="278">
        <v>0</v>
      </c>
      <c r="G827" s="278">
        <v>0</v>
      </c>
      <c r="H827" s="278">
        <v>1</v>
      </c>
    </row>
    <row r="828" spans="2:26">
      <c r="B828" s="278">
        <v>14</v>
      </c>
      <c r="C828" s="278">
        <v>0</v>
      </c>
      <c r="D828" s="278">
        <v>2</v>
      </c>
      <c r="E828" s="278">
        <v>11</v>
      </c>
      <c r="F828" s="278">
        <v>0</v>
      </c>
      <c r="G828" s="278">
        <v>1</v>
      </c>
      <c r="H828" s="278">
        <v>0</v>
      </c>
    </row>
    <row r="829" spans="2:26">
      <c r="B829" s="278">
        <v>16</v>
      </c>
      <c r="C829" s="278">
        <v>0</v>
      </c>
      <c r="D829" s="278">
        <v>3</v>
      </c>
      <c r="E829" s="278">
        <v>12</v>
      </c>
      <c r="F829" s="278">
        <v>0</v>
      </c>
      <c r="G829" s="278">
        <v>1</v>
      </c>
      <c r="H829" s="278">
        <v>1</v>
      </c>
    </row>
    <row r="830" spans="2:26">
      <c r="B830" s="278">
        <v>18</v>
      </c>
      <c r="C830" s="278">
        <v>0</v>
      </c>
      <c r="D830" s="278">
        <v>4</v>
      </c>
      <c r="E830" s="278">
        <v>13</v>
      </c>
      <c r="F830" s="278">
        <v>0</v>
      </c>
      <c r="G830" s="278">
        <v>2</v>
      </c>
      <c r="H830" s="278">
        <v>0</v>
      </c>
    </row>
    <row r="831" spans="2:26">
      <c r="B831" s="278">
        <v>20</v>
      </c>
      <c r="C831" s="278">
        <v>0</v>
      </c>
      <c r="D831" s="278">
        <v>5</v>
      </c>
      <c r="E831" s="278">
        <v>14</v>
      </c>
      <c r="F831" s="278">
        <v>0</v>
      </c>
      <c r="G831" s="278">
        <v>2</v>
      </c>
      <c r="H831" s="278">
        <v>1</v>
      </c>
    </row>
    <row r="832" spans="2:26">
      <c r="B832" s="278">
        <v>24</v>
      </c>
      <c r="C832" s="278">
        <v>0</v>
      </c>
      <c r="D832" s="278">
        <v>6</v>
      </c>
      <c r="E832" s="278">
        <v>15</v>
      </c>
      <c r="F832" s="278">
        <v>0</v>
      </c>
      <c r="G832" s="278">
        <v>3</v>
      </c>
      <c r="H832" s="278">
        <v>0</v>
      </c>
    </row>
    <row r="833" spans="2:8">
      <c r="B833" s="278">
        <v>22</v>
      </c>
      <c r="C833" s="278">
        <v>0</v>
      </c>
      <c r="D833" s="278">
        <v>7</v>
      </c>
      <c r="E833" s="278">
        <v>16</v>
      </c>
      <c r="F833" s="278">
        <v>0</v>
      </c>
      <c r="G833" s="278">
        <v>3</v>
      </c>
      <c r="H833" s="278">
        <v>1</v>
      </c>
    </row>
    <row r="834" spans="2:8">
      <c r="B834" s="278">
        <v>26</v>
      </c>
      <c r="C834" s="278">
        <v>1</v>
      </c>
      <c r="D834" s="278">
        <v>0</v>
      </c>
      <c r="E834" s="278">
        <v>18</v>
      </c>
      <c r="F834" s="278">
        <v>0</v>
      </c>
      <c r="G834" s="278">
        <v>4</v>
      </c>
      <c r="H834" s="278">
        <v>0</v>
      </c>
    </row>
    <row r="835" spans="2:8">
      <c r="B835" s="278">
        <v>28</v>
      </c>
      <c r="C835" s="278">
        <v>1</v>
      </c>
      <c r="D835" s="278">
        <v>1</v>
      </c>
      <c r="E835" s="278">
        <v>20</v>
      </c>
      <c r="F835" s="278">
        <v>0</v>
      </c>
      <c r="G835" s="278">
        <v>4</v>
      </c>
      <c r="H835" s="278">
        <v>1</v>
      </c>
    </row>
    <row r="836" spans="2:8">
      <c r="E836" s="278">
        <v>22</v>
      </c>
      <c r="F836" s="278">
        <v>0</v>
      </c>
      <c r="G836" s="278">
        <v>5</v>
      </c>
      <c r="H836" s="278">
        <v>0</v>
      </c>
    </row>
    <row r="837" spans="2:8">
      <c r="E837" s="278">
        <v>24</v>
      </c>
      <c r="F837" s="278">
        <v>0</v>
      </c>
      <c r="G837" s="278">
        <v>5</v>
      </c>
      <c r="H837" s="278">
        <v>1</v>
      </c>
    </row>
    <row r="838" spans="2:8">
      <c r="E838" s="278">
        <v>23</v>
      </c>
      <c r="F838" s="278">
        <v>0</v>
      </c>
      <c r="G838" s="278">
        <v>6</v>
      </c>
      <c r="H838" s="278">
        <v>0</v>
      </c>
    </row>
    <row r="839" spans="2:8">
      <c r="E839" s="278">
        <v>17</v>
      </c>
      <c r="F839" s="278">
        <v>0</v>
      </c>
      <c r="G839" s="278">
        <v>6</v>
      </c>
      <c r="H839" s="278">
        <v>1</v>
      </c>
    </row>
    <row r="840" spans="2:8">
      <c r="E840" s="278">
        <v>19</v>
      </c>
      <c r="F840" s="278">
        <v>0</v>
      </c>
      <c r="G840" s="278">
        <v>7</v>
      </c>
      <c r="H840" s="278">
        <v>0</v>
      </c>
    </row>
    <row r="841" spans="2:8">
      <c r="E841" s="278">
        <v>21</v>
      </c>
      <c r="F841" s="278">
        <v>0</v>
      </c>
      <c r="G841" s="278">
        <v>7</v>
      </c>
      <c r="H841" s="278">
        <v>1</v>
      </c>
    </row>
    <row r="842" spans="2:8">
      <c r="E842" s="278">
        <v>25</v>
      </c>
      <c r="F842" s="278">
        <v>1</v>
      </c>
      <c r="G842" s="278">
        <v>0</v>
      </c>
      <c r="H842" s="278">
        <v>0</v>
      </c>
    </row>
    <row r="843" spans="2:8">
      <c r="E843" s="278">
        <v>26</v>
      </c>
      <c r="F843" s="278">
        <v>1</v>
      </c>
      <c r="G843" s="278">
        <v>0</v>
      </c>
      <c r="H843" s="278">
        <v>1</v>
      </c>
    </row>
    <row r="844" spans="2:8">
      <c r="E844" s="278">
        <v>27</v>
      </c>
      <c r="F844" s="278">
        <v>1</v>
      </c>
      <c r="G844" s="278">
        <v>1</v>
      </c>
      <c r="H844" s="278">
        <v>0</v>
      </c>
    </row>
    <row r="845" spans="2:8">
      <c r="E845" s="278">
        <v>28</v>
      </c>
      <c r="F845" s="278">
        <v>1</v>
      </c>
      <c r="G845" s="278">
        <v>1</v>
      </c>
      <c r="H845" s="278">
        <v>1</v>
      </c>
    </row>
    <row r="846" spans="2:8">
      <c r="E846" s="278">
        <v>29</v>
      </c>
      <c r="F846" s="278">
        <v>1</v>
      </c>
      <c r="G846" s="278">
        <v>2</v>
      </c>
      <c r="H846" s="278">
        <v>0</v>
      </c>
    </row>
    <row r="847" spans="2:8">
      <c r="E847" s="278">
        <v>30</v>
      </c>
      <c r="F847" s="278">
        <v>1</v>
      </c>
      <c r="G847" s="278">
        <v>2</v>
      </c>
      <c r="H847" s="278">
        <v>1</v>
      </c>
    </row>
    <row r="848" spans="2:8">
      <c r="E848" s="278">
        <v>31</v>
      </c>
      <c r="F848" s="278">
        <v>1</v>
      </c>
      <c r="G848" s="278">
        <v>3</v>
      </c>
      <c r="H848" s="278">
        <v>0</v>
      </c>
    </row>
    <row r="849" spans="2:26">
      <c r="E849" s="278">
        <v>32</v>
      </c>
      <c r="F849" s="278">
        <v>1</v>
      </c>
      <c r="G849" s="278">
        <v>3</v>
      </c>
      <c r="H849" s="278">
        <v>1</v>
      </c>
    </row>
    <row r="851" spans="2:26">
      <c r="Z851" s="248" t="s">
        <v>1243</v>
      </c>
    </row>
    <row r="852" spans="2:26" ht="13.5" thickBot="1">
      <c r="Z852" s="237" t="str">
        <f>CONCATENATE(C857,D857,E857,F857,G857)</f>
        <v>00000000000000000000000000010010</v>
      </c>
    </row>
    <row r="853" spans="2:26" ht="13.5" thickBot="1">
      <c r="B853" s="245" t="s">
        <v>1371</v>
      </c>
      <c r="C853" s="246"/>
      <c r="D853" s="246"/>
      <c r="E853" s="246"/>
      <c r="F853" s="246"/>
      <c r="G853" s="246"/>
      <c r="H853" s="276"/>
      <c r="I853" s="248"/>
      <c r="J853" s="248"/>
      <c r="K853" s="248"/>
      <c r="L853" s="248"/>
      <c r="M853" s="248"/>
      <c r="N853" s="248"/>
      <c r="O853" s="248"/>
      <c r="P853" s="248"/>
      <c r="Q853" s="248"/>
      <c r="R853" s="248"/>
      <c r="S853" s="248"/>
      <c r="T853" s="248"/>
      <c r="U853" s="248"/>
      <c r="V853" s="248"/>
      <c r="W853" s="248"/>
      <c r="X853" s="248"/>
      <c r="Y853" s="248"/>
      <c r="Z853" s="237" t="str">
        <f>BIN2HEX(RIGHT((LEFT(Z852,4)),4))</f>
        <v>0</v>
      </c>
    </row>
    <row r="854" spans="2:26" ht="13.5" thickTop="1">
      <c r="B854" s="249"/>
      <c r="C854" s="268" t="s">
        <v>1248</v>
      </c>
      <c r="D854" s="251" t="s">
        <v>1255</v>
      </c>
      <c r="E854" s="251" t="s">
        <v>1254</v>
      </c>
      <c r="F854" s="251" t="s">
        <v>1253</v>
      </c>
      <c r="G854" s="251" t="s">
        <v>1252</v>
      </c>
      <c r="H854" s="271"/>
      <c r="I854" s="272"/>
      <c r="J854" s="272"/>
      <c r="K854" s="272"/>
      <c r="L854" s="272"/>
      <c r="M854" s="272"/>
      <c r="N854" s="272"/>
      <c r="O854" s="272"/>
      <c r="P854" s="272"/>
      <c r="Q854" s="272"/>
      <c r="R854" s="272"/>
      <c r="S854" s="272"/>
      <c r="T854" s="272"/>
      <c r="U854" s="272"/>
      <c r="V854" s="272"/>
      <c r="W854" s="272"/>
      <c r="X854" s="272"/>
      <c r="Y854" s="272"/>
      <c r="Z854" s="237" t="str">
        <f>BIN2HEX(RIGHT((LEFT(Z852,8)),4))</f>
        <v>0</v>
      </c>
    </row>
    <row r="855" spans="2:26">
      <c r="B855" s="255" t="s">
        <v>189</v>
      </c>
      <c r="C855" s="256">
        <v>24</v>
      </c>
      <c r="D855" s="257">
        <v>1</v>
      </c>
      <c r="E855" s="257">
        <v>1</v>
      </c>
      <c r="F855" s="257">
        <v>3</v>
      </c>
      <c r="G855" s="257">
        <v>3</v>
      </c>
      <c r="H855" s="274"/>
      <c r="I855" s="272"/>
      <c r="J855" s="272"/>
      <c r="K855" s="272"/>
      <c r="L855" s="272"/>
      <c r="M855" s="272"/>
      <c r="N855" s="272"/>
      <c r="O855" s="272"/>
      <c r="P855" s="272"/>
      <c r="Q855" s="272"/>
      <c r="R855" s="272"/>
      <c r="S855" s="272"/>
      <c r="T855" s="272"/>
      <c r="U855" s="272"/>
      <c r="V855" s="272"/>
      <c r="W855" s="272"/>
      <c r="X855" s="272"/>
      <c r="Y855" s="272"/>
      <c r="Z855" s="237" t="str">
        <f>BIN2HEX(RIGHT((LEFT(Z852,12)),4))</f>
        <v>0</v>
      </c>
    </row>
    <row r="856" spans="2:26">
      <c r="B856" s="262" t="s">
        <v>16</v>
      </c>
      <c r="C856" s="263">
        <v>0</v>
      </c>
      <c r="D856" s="259">
        <v>0</v>
      </c>
      <c r="E856" s="259">
        <v>0</v>
      </c>
      <c r="F856" s="259">
        <f>IF(AND(DDR_Memory_Frequency&gt;=533,DDR_Memory_Frequency&lt;=800),2,IF(AND(DDR_Memory_Frequency&gt;800,DDR_Memory_Frequency&lt;=1066),3,"ERROR"))</f>
        <v>2</v>
      </c>
      <c r="G856" s="259">
        <f>IF(AND(DDR_Memory_Frequency&gt;=533,DDR_Memory_Frequency&lt;=800),2,IF(AND(DDR_Memory_Frequency&gt;800,DDR_Memory_Frequency&lt;=1066),3,"ERROR"))</f>
        <v>2</v>
      </c>
      <c r="H856" s="261"/>
      <c r="I856" s="261"/>
      <c r="J856" s="261"/>
      <c r="K856" s="261"/>
      <c r="L856" s="261"/>
      <c r="M856" s="261"/>
      <c r="N856" s="261"/>
      <c r="O856" s="261"/>
      <c r="P856" s="261"/>
      <c r="Q856" s="261"/>
      <c r="R856" s="261"/>
      <c r="S856" s="261"/>
      <c r="T856" s="261"/>
      <c r="U856" s="261"/>
      <c r="V856" s="261"/>
      <c r="W856" s="261"/>
      <c r="X856" s="261"/>
      <c r="Y856" s="261"/>
      <c r="Z856" s="237" t="str">
        <f>BIN2HEX(RIGHT((LEFT(Z852,16)),4))</f>
        <v>0</v>
      </c>
    </row>
    <row r="857" spans="2:26" ht="13.5" thickBot="1">
      <c r="B857" s="264" t="s">
        <v>17</v>
      </c>
      <c r="C857" s="277" t="s">
        <v>1249</v>
      </c>
      <c r="D857" s="265" t="str">
        <f>HEX2BIN(D856,D855)</f>
        <v>0</v>
      </c>
      <c r="E857" s="265" t="str">
        <f>HEX2BIN(E856,E855)</f>
        <v>0</v>
      </c>
      <c r="F857" s="265" t="str">
        <f>HEX2BIN(F856,F855)</f>
        <v>010</v>
      </c>
      <c r="G857" s="265" t="str">
        <f>HEX2BIN(G856,G855)</f>
        <v>010</v>
      </c>
      <c r="H857" s="261"/>
      <c r="I857" s="261"/>
      <c r="J857" s="261"/>
      <c r="K857" s="261"/>
      <c r="L857" s="261"/>
      <c r="M857" s="261"/>
      <c r="N857" s="261"/>
      <c r="O857" s="261"/>
      <c r="P857" s="261"/>
      <c r="Q857" s="261"/>
      <c r="R857" s="261"/>
      <c r="S857" s="261"/>
      <c r="T857" s="261"/>
      <c r="U857" s="261"/>
      <c r="V857" s="261"/>
      <c r="W857" s="261"/>
      <c r="X857" s="261"/>
      <c r="Y857" s="261"/>
      <c r="Z857" s="237" t="str">
        <f>BIN2HEX(RIGHT((LEFT(Z852,20)),4))</f>
        <v>0</v>
      </c>
    </row>
    <row r="858" spans="2:26" ht="13.5" thickBot="1">
      <c r="B858" s="266" t="s">
        <v>18</v>
      </c>
      <c r="C858" s="267" t="str">
        <f>CONCATENATE("0x",Z853,Z854,Z855,Z856,Z857,Z858,Z859,Z860)</f>
        <v>0x00000012</v>
      </c>
      <c r="Z858" s="237" t="str">
        <f>BIN2HEX(RIGHT((LEFT(Z852,24)),4))</f>
        <v>0</v>
      </c>
    </row>
    <row r="859" spans="2:26">
      <c r="H859" s="278" t="s">
        <v>288</v>
      </c>
      <c r="I859" s="278"/>
      <c r="Z859" s="237" t="str">
        <f>BIN2HEX(RIGHT((LEFT(Z852,28)),4))</f>
        <v>1</v>
      </c>
    </row>
    <row r="860" spans="2:26">
      <c r="H860" s="278">
        <v>1333</v>
      </c>
      <c r="I860" s="278">
        <v>0</v>
      </c>
      <c r="Z860" s="237" t="str">
        <f>BIN2HEX(RIGHT((LEFT(Z852,33)),4))</f>
        <v>2</v>
      </c>
    </row>
    <row r="861" spans="2:26">
      <c r="H861" s="278">
        <v>1600</v>
      </c>
      <c r="I861" s="278">
        <v>0</v>
      </c>
    </row>
    <row r="862" spans="2:26">
      <c r="H862" s="278">
        <v>1866</v>
      </c>
      <c r="I862" s="278">
        <v>1</v>
      </c>
    </row>
    <row r="863" spans="2:26">
      <c r="H863" s="278">
        <v>2133</v>
      </c>
      <c r="I863" s="278">
        <v>2</v>
      </c>
    </row>
    <row r="864" spans="2:26">
      <c r="H864" s="278">
        <v>2400</v>
      </c>
      <c r="I864" s="278">
        <v>3</v>
      </c>
    </row>
    <row r="865" spans="2:26">
      <c r="H865" s="278">
        <v>2133</v>
      </c>
      <c r="I865" s="278">
        <v>4</v>
      </c>
    </row>
    <row r="866" spans="2:26">
      <c r="H866" s="278">
        <v>2400</v>
      </c>
      <c r="I866" s="278">
        <v>5</v>
      </c>
    </row>
    <row r="869" spans="2:26">
      <c r="Z869" s="248" t="s">
        <v>1242</v>
      </c>
    </row>
    <row r="870" spans="2:26" ht="13.5" thickBot="1">
      <c r="Z870" s="237" t="e">
        <f>CONCATENATE(C875,D875,E875,F875,G875,H875,I875)</f>
        <v>#N/A</v>
      </c>
    </row>
    <row r="871" spans="2:26" ht="13.5" thickBot="1">
      <c r="B871" s="245" t="s">
        <v>1372</v>
      </c>
      <c r="C871" s="246"/>
      <c r="D871" s="246"/>
      <c r="E871" s="246"/>
      <c r="F871" s="246"/>
      <c r="G871" s="246"/>
      <c r="H871" s="246"/>
      <c r="I871" s="246"/>
      <c r="J871" s="276"/>
      <c r="K871" s="248"/>
      <c r="L871" s="248"/>
      <c r="M871" s="248"/>
      <c r="N871" s="248"/>
      <c r="O871" s="248"/>
      <c r="P871" s="248"/>
      <c r="Q871" s="248"/>
      <c r="R871" s="248"/>
      <c r="S871" s="248"/>
      <c r="T871" s="248"/>
      <c r="U871" s="248"/>
      <c r="V871" s="248"/>
      <c r="W871" s="248"/>
      <c r="X871" s="248"/>
      <c r="Y871" s="248"/>
      <c r="Z871" s="237" t="e">
        <f>BIN2HEX(RIGHT((LEFT(Z870,4)),4))</f>
        <v>#N/A</v>
      </c>
    </row>
    <row r="872" spans="2:26" ht="13.5" thickTop="1">
      <c r="B872" s="249"/>
      <c r="C872" s="268" t="s">
        <v>1248</v>
      </c>
      <c r="D872" s="251" t="s">
        <v>1261</v>
      </c>
      <c r="E872" s="251" t="s">
        <v>1260</v>
      </c>
      <c r="F872" s="251" t="s">
        <v>1259</v>
      </c>
      <c r="G872" s="251" t="s">
        <v>1258</v>
      </c>
      <c r="H872" s="251" t="s">
        <v>1257</v>
      </c>
      <c r="I872" s="251" t="s">
        <v>1256</v>
      </c>
      <c r="J872" s="271"/>
      <c r="K872" s="272"/>
      <c r="L872" s="272"/>
      <c r="M872" s="272"/>
      <c r="N872" s="272"/>
      <c r="O872" s="272"/>
      <c r="P872" s="272"/>
      <c r="Q872" s="272"/>
      <c r="R872" s="272"/>
      <c r="S872" s="272"/>
      <c r="T872" s="272"/>
      <c r="U872" s="272"/>
      <c r="V872" s="272"/>
      <c r="W872" s="272"/>
      <c r="X872" s="272"/>
      <c r="Y872" s="272"/>
      <c r="Z872" s="237" t="e">
        <f>BIN2HEX(RIGHT((LEFT(Z870,8)),4))</f>
        <v>#N/A</v>
      </c>
    </row>
    <row r="873" spans="2:26">
      <c r="B873" s="255" t="s">
        <v>189</v>
      </c>
      <c r="C873" s="256">
        <v>24</v>
      </c>
      <c r="D873" s="257">
        <v>1</v>
      </c>
      <c r="E873" s="257">
        <v>1</v>
      </c>
      <c r="F873" s="257">
        <v>3</v>
      </c>
      <c r="G873" s="257">
        <v>1</v>
      </c>
      <c r="H873" s="257">
        <v>1</v>
      </c>
      <c r="I873" s="257">
        <v>1</v>
      </c>
      <c r="J873" s="274"/>
      <c r="K873" s="272"/>
      <c r="L873" s="272"/>
      <c r="M873" s="272"/>
      <c r="N873" s="272"/>
      <c r="O873" s="272"/>
      <c r="P873" s="272"/>
      <c r="Q873" s="272"/>
      <c r="R873" s="272"/>
      <c r="S873" s="272"/>
      <c r="T873" s="272"/>
      <c r="U873" s="272"/>
      <c r="V873" s="272"/>
      <c r="W873" s="272"/>
      <c r="X873" s="272"/>
      <c r="Y873" s="272"/>
      <c r="Z873" s="237" t="e">
        <f>BIN2HEX(RIGHT((LEFT(Z870,12)),4))</f>
        <v>#N/A</v>
      </c>
    </row>
    <row r="874" spans="2:26">
      <c r="B874" s="262" t="s">
        <v>16</v>
      </c>
      <c r="C874" s="263">
        <v>0</v>
      </c>
      <c r="D874" s="259">
        <v>0</v>
      </c>
      <c r="E874" s="259">
        <v>0</v>
      </c>
      <c r="F874" s="275" t="e">
        <f>'VREF (LPDDR4)'!DRAM_Ron_register</f>
        <v>#N/A</v>
      </c>
      <c r="G874" s="259">
        <f>INDEX(H860:I866,MATCH(Data_Rate,H860:H866,0),2)</f>
        <v>0</v>
      </c>
      <c r="H874" s="259">
        <v>0</v>
      </c>
      <c r="I874" s="259">
        <v>1</v>
      </c>
      <c r="J874" s="261"/>
      <c r="K874" s="261"/>
      <c r="L874" s="261"/>
      <c r="M874" s="261"/>
      <c r="N874" s="261"/>
      <c r="O874" s="261"/>
      <c r="P874" s="261"/>
      <c r="Q874" s="261"/>
      <c r="R874" s="261"/>
      <c r="S874" s="261"/>
      <c r="T874" s="261"/>
      <c r="U874" s="261"/>
      <c r="V874" s="261"/>
      <c r="W874" s="261"/>
      <c r="X874" s="261"/>
      <c r="Y874" s="261"/>
      <c r="Z874" s="237" t="e">
        <f>BIN2HEX(RIGHT((LEFT(Z870,16)),4))</f>
        <v>#N/A</v>
      </c>
    </row>
    <row r="875" spans="2:26" ht="13.5" thickBot="1">
      <c r="B875" s="264" t="s">
        <v>17</v>
      </c>
      <c r="C875" s="277" t="s">
        <v>1249</v>
      </c>
      <c r="D875" s="265" t="str">
        <f t="shared" ref="D875:I875" si="43">HEX2BIN(D874,D873)</f>
        <v>0</v>
      </c>
      <c r="E875" s="265" t="str">
        <f t="shared" si="43"/>
        <v>0</v>
      </c>
      <c r="F875" s="265" t="e">
        <f t="shared" si="43"/>
        <v>#N/A</v>
      </c>
      <c r="G875" s="265" t="str">
        <f t="shared" si="43"/>
        <v>0</v>
      </c>
      <c r="H875" s="265" t="str">
        <f t="shared" si="43"/>
        <v>0</v>
      </c>
      <c r="I875" s="265" t="str">
        <f t="shared" si="43"/>
        <v>1</v>
      </c>
      <c r="J875" s="261"/>
      <c r="K875" s="261"/>
      <c r="L875" s="261"/>
      <c r="M875" s="261"/>
      <c r="N875" s="261"/>
      <c r="O875" s="261"/>
      <c r="P875" s="261"/>
      <c r="Q875" s="261"/>
      <c r="R875" s="261"/>
      <c r="S875" s="261"/>
      <c r="T875" s="261"/>
      <c r="U875" s="261"/>
      <c r="V875" s="261"/>
      <c r="W875" s="261"/>
      <c r="X875" s="261"/>
      <c r="Y875" s="261"/>
      <c r="Z875" s="237" t="e">
        <f>BIN2HEX(RIGHT((LEFT(Z870,20)),4))</f>
        <v>#N/A</v>
      </c>
    </row>
    <row r="876" spans="2:26" ht="13.5" thickBot="1">
      <c r="B876" s="266" t="s">
        <v>18</v>
      </c>
      <c r="C876" s="267" t="e">
        <f>CONCATENATE("0x",Z871,Z872,Z873,Z874,Z875,Z876,Z877,Z878)</f>
        <v>#N/A</v>
      </c>
      <c r="Z876" s="237" t="e">
        <f>BIN2HEX(RIGHT((LEFT(Z870,24)),4))</f>
        <v>#N/A</v>
      </c>
    </row>
    <row r="877" spans="2:26">
      <c r="Z877" s="237" t="e">
        <f>BIN2HEX(RIGHT((LEFT(Z870,28)),4))</f>
        <v>#N/A</v>
      </c>
    </row>
    <row r="878" spans="2:26">
      <c r="Z878" s="237" t="e">
        <f>BIN2HEX(RIGHT((LEFT(Z870,33)),4))</f>
        <v>#N/A</v>
      </c>
    </row>
    <row r="885" spans="2:26">
      <c r="Z885" s="248" t="s">
        <v>1262</v>
      </c>
    </row>
    <row r="886" spans="2:26" ht="13.5" thickBot="1">
      <c r="Z886" s="237" t="str">
        <f>CONCATENATE(C891,D891,E891,F891)</f>
        <v>00000000000000000000000001010101</v>
      </c>
    </row>
    <row r="887" spans="2:26" ht="13.5" thickBot="1">
      <c r="B887" s="245" t="s">
        <v>1373</v>
      </c>
      <c r="C887" s="246"/>
      <c r="D887" s="246"/>
      <c r="E887" s="246"/>
      <c r="F887" s="246"/>
      <c r="G887" s="276"/>
      <c r="H887" s="248"/>
      <c r="I887" s="248"/>
      <c r="J887" s="248"/>
      <c r="K887" s="248"/>
      <c r="L887" s="248"/>
      <c r="M887" s="248"/>
      <c r="N887" s="248"/>
      <c r="O887" s="248"/>
      <c r="P887" s="248"/>
      <c r="Q887" s="248"/>
      <c r="R887" s="248"/>
      <c r="S887" s="248"/>
      <c r="T887" s="248"/>
      <c r="U887" s="248"/>
      <c r="V887" s="248"/>
      <c r="W887" s="248"/>
      <c r="X887" s="248"/>
      <c r="Y887" s="248"/>
      <c r="Z887" s="237" t="str">
        <f>BIN2HEX(RIGHT((LEFT(Z886,4)),4))</f>
        <v>0</v>
      </c>
    </row>
    <row r="888" spans="2:26" ht="13.5" thickTop="1">
      <c r="B888" s="249"/>
      <c r="C888" s="268" t="s">
        <v>1265</v>
      </c>
      <c r="D888" s="251" t="s">
        <v>1264</v>
      </c>
      <c r="E888" s="251" t="s">
        <v>1078</v>
      </c>
      <c r="F888" s="251" t="s">
        <v>1263</v>
      </c>
      <c r="G888" s="271"/>
      <c r="H888" s="272"/>
      <c r="I888" s="272"/>
      <c r="J888" s="272"/>
      <c r="K888" s="272"/>
      <c r="L888" s="272"/>
      <c r="M888" s="272"/>
      <c r="N888" s="272"/>
      <c r="O888" s="272"/>
      <c r="P888" s="272"/>
      <c r="Q888" s="272"/>
      <c r="R888" s="272"/>
      <c r="S888" s="272"/>
      <c r="T888" s="272"/>
      <c r="U888" s="272"/>
      <c r="V888" s="272"/>
      <c r="W888" s="272"/>
      <c r="X888" s="272"/>
      <c r="Y888" s="272"/>
      <c r="Z888" s="237" t="str">
        <f>BIN2HEX(RIGHT((LEFT(Z886,8)),4))</f>
        <v>0</v>
      </c>
    </row>
    <row r="889" spans="2:26">
      <c r="B889" s="255" t="s">
        <v>189</v>
      </c>
      <c r="C889" s="256">
        <v>25</v>
      </c>
      <c r="D889" s="257">
        <v>3</v>
      </c>
      <c r="E889" s="257">
        <v>1</v>
      </c>
      <c r="F889" s="257">
        <v>3</v>
      </c>
      <c r="G889" s="274"/>
      <c r="H889" s="272"/>
      <c r="I889" s="272"/>
      <c r="J889" s="272"/>
      <c r="K889" s="272"/>
      <c r="L889" s="272"/>
      <c r="M889" s="272"/>
      <c r="N889" s="272"/>
      <c r="O889" s="272"/>
      <c r="P889" s="272"/>
      <c r="Q889" s="272"/>
      <c r="R889" s="272"/>
      <c r="S889" s="272"/>
      <c r="T889" s="272"/>
      <c r="U889" s="272"/>
      <c r="V889" s="272"/>
      <c r="W889" s="272"/>
      <c r="X889" s="272"/>
      <c r="Y889" s="272"/>
      <c r="Z889" s="237" t="str">
        <f>BIN2HEX(RIGHT((LEFT(Z886,12)),4))</f>
        <v>0</v>
      </c>
    </row>
    <row r="890" spans="2:26">
      <c r="B890" s="262" t="s">
        <v>16</v>
      </c>
      <c r="C890" s="263">
        <v>0</v>
      </c>
      <c r="D890" s="275">
        <f>'VREF (LPDDR4)'!DRAM_Rtt_register</f>
        <v>5</v>
      </c>
      <c r="E890" s="259">
        <v>0</v>
      </c>
      <c r="F890" s="275">
        <f>'VREF (LPDDR4)'!DRAM_Rtt_register</f>
        <v>5</v>
      </c>
      <c r="G890" s="261"/>
      <c r="H890" s="261"/>
      <c r="I890" s="261"/>
      <c r="J890" s="261"/>
      <c r="K890" s="261"/>
      <c r="L890" s="261"/>
      <c r="M890" s="261"/>
      <c r="N890" s="261"/>
      <c r="O890" s="261"/>
      <c r="P890" s="261"/>
      <c r="Q890" s="261"/>
      <c r="R890" s="261"/>
      <c r="S890" s="261"/>
      <c r="T890" s="261"/>
      <c r="U890" s="261"/>
      <c r="V890" s="261"/>
      <c r="W890" s="261"/>
      <c r="X890" s="261"/>
      <c r="Y890" s="261"/>
      <c r="Z890" s="237" t="str">
        <f>BIN2HEX(RIGHT((LEFT(Z886,16)),4))</f>
        <v>0</v>
      </c>
    </row>
    <row r="891" spans="2:26" ht="13.5" thickBot="1">
      <c r="B891" s="264" t="s">
        <v>17</v>
      </c>
      <c r="C891" s="277" t="s">
        <v>1266</v>
      </c>
      <c r="D891" s="265" t="str">
        <f>HEX2BIN(D890,D889)</f>
        <v>101</v>
      </c>
      <c r="E891" s="265" t="str">
        <f>HEX2BIN(E890,E889)</f>
        <v>0</v>
      </c>
      <c r="F891" s="265" t="str">
        <f>HEX2BIN(F890,F889)</f>
        <v>101</v>
      </c>
      <c r="G891" s="261"/>
      <c r="H891" s="261"/>
      <c r="I891" s="261"/>
      <c r="J891" s="261"/>
      <c r="K891" s="261"/>
      <c r="L891" s="261"/>
      <c r="M891" s="261"/>
      <c r="N891" s="261"/>
      <c r="O891" s="261"/>
      <c r="P891" s="261"/>
      <c r="Q891" s="261"/>
      <c r="R891" s="261"/>
      <c r="S891" s="261"/>
      <c r="T891" s="261"/>
      <c r="U891" s="261"/>
      <c r="V891" s="261"/>
      <c r="W891" s="261"/>
      <c r="X891" s="261"/>
      <c r="Y891" s="261"/>
      <c r="Z891" s="237" t="str">
        <f>BIN2HEX(RIGHT((LEFT(Z886,20)),4))</f>
        <v>0</v>
      </c>
    </row>
    <row r="892" spans="2:26" ht="13.5" thickBot="1">
      <c r="B892" s="266" t="s">
        <v>18</v>
      </c>
      <c r="C892" s="267" t="str">
        <f>CONCATENATE("0x",Z887,Z888,Z889,Z890,Z891,Z892,Z893,Z894)</f>
        <v>0x00000055</v>
      </c>
      <c r="Z892" s="237" t="str">
        <f>BIN2HEX(RIGHT((LEFT(Z886,24)),4))</f>
        <v>0</v>
      </c>
    </row>
    <row r="893" spans="2:26">
      <c r="Z893" s="237" t="str">
        <f>BIN2HEX(RIGHT((LEFT(Z886,28)),4))</f>
        <v>5</v>
      </c>
    </row>
    <row r="894" spans="2:26">
      <c r="Z894" s="237" t="str">
        <f>BIN2HEX(RIGHT((LEFT(Z886,33)),4))</f>
        <v>5</v>
      </c>
    </row>
    <row r="895" spans="2:26">
      <c r="Z895" s="248" t="s">
        <v>1267</v>
      </c>
    </row>
    <row r="896" spans="2:26" ht="13.5" thickBot="1">
      <c r="Z896" s="237" t="str">
        <f>CONCATENATE(C901,D901,E901)</f>
        <v>00000000000000000000000000100101</v>
      </c>
    </row>
    <row r="897" spans="2:26" ht="13.5" thickBot="1">
      <c r="B897" s="245" t="s">
        <v>1374</v>
      </c>
      <c r="C897" s="246"/>
      <c r="D897" s="246"/>
      <c r="E897" s="246"/>
      <c r="F897" s="248"/>
      <c r="G897" s="248"/>
      <c r="H897" s="248"/>
      <c r="I897" s="248"/>
      <c r="J897" s="248"/>
      <c r="K897" s="248"/>
      <c r="L897" s="248"/>
      <c r="M897" s="248"/>
      <c r="N897" s="248"/>
      <c r="O897" s="248"/>
      <c r="P897" s="248"/>
      <c r="Q897" s="248"/>
      <c r="R897" s="248"/>
      <c r="S897" s="248"/>
      <c r="T897" s="248"/>
      <c r="U897" s="248"/>
      <c r="V897" s="248"/>
      <c r="W897" s="248"/>
      <c r="X897" s="248"/>
      <c r="Y897" s="248"/>
      <c r="Z897" s="237" t="str">
        <f>BIN2HEX(RIGHT((LEFT(Z896,4)),4))</f>
        <v>0</v>
      </c>
    </row>
    <row r="898" spans="2:26" ht="13.5" thickTop="1">
      <c r="B898" s="249"/>
      <c r="C898" s="268" t="s">
        <v>1265</v>
      </c>
      <c r="D898" s="251" t="s">
        <v>1269</v>
      </c>
      <c r="E898" s="251" t="s">
        <v>1268</v>
      </c>
      <c r="F898" s="272"/>
      <c r="G898" s="272"/>
      <c r="H898" s="272"/>
      <c r="I898" s="272"/>
      <c r="J898" s="272"/>
      <c r="K898" s="272"/>
      <c r="L898" s="272"/>
      <c r="M898" s="272"/>
      <c r="N898" s="272"/>
      <c r="O898" s="272"/>
      <c r="P898" s="272"/>
      <c r="Q898" s="272"/>
      <c r="R898" s="272"/>
      <c r="S898" s="272"/>
      <c r="T898" s="272"/>
      <c r="U898" s="272"/>
      <c r="V898" s="272"/>
      <c r="W898" s="272"/>
      <c r="X898" s="272"/>
      <c r="Y898" s="272"/>
      <c r="Z898" s="237" t="str">
        <f>BIN2HEX(RIGHT((LEFT(Z896,8)),4))</f>
        <v>0</v>
      </c>
    </row>
    <row r="899" spans="2:26">
      <c r="B899" s="255" t="s">
        <v>189</v>
      </c>
      <c r="C899" s="256">
        <v>25</v>
      </c>
      <c r="D899" s="257">
        <v>1</v>
      </c>
      <c r="E899" s="257">
        <v>6</v>
      </c>
      <c r="F899" s="272"/>
      <c r="G899" s="272"/>
      <c r="H899" s="272"/>
      <c r="I899" s="272"/>
      <c r="J899" s="272"/>
      <c r="K899" s="272"/>
      <c r="L899" s="272"/>
      <c r="M899" s="272"/>
      <c r="N899" s="272"/>
      <c r="O899" s="272"/>
      <c r="P899" s="272"/>
      <c r="Q899" s="272"/>
      <c r="R899" s="272"/>
      <c r="S899" s="272"/>
      <c r="T899" s="272"/>
      <c r="U899" s="272"/>
      <c r="V899" s="272"/>
      <c r="W899" s="272"/>
      <c r="X899" s="272"/>
      <c r="Y899" s="272"/>
      <c r="Z899" s="237" t="str">
        <f>BIN2HEX(RIGHT((LEFT(Z896,12)),4))</f>
        <v>0</v>
      </c>
    </row>
    <row r="900" spans="2:26">
      <c r="B900" s="262" t="s">
        <v>16</v>
      </c>
      <c r="C900" s="263">
        <v>0</v>
      </c>
      <c r="D900" s="275">
        <v>0</v>
      </c>
      <c r="E900" s="283" t="str">
        <f>MR14_5_0</f>
        <v>25</v>
      </c>
      <c r="F900" s="261"/>
      <c r="G900" s="261"/>
      <c r="H900" s="261"/>
      <c r="I900" s="261"/>
      <c r="J900" s="261"/>
      <c r="K900" s="261"/>
      <c r="L900" s="261"/>
      <c r="M900" s="261"/>
      <c r="N900" s="261"/>
      <c r="O900" s="261"/>
      <c r="P900" s="261"/>
      <c r="Q900" s="261"/>
      <c r="R900" s="261"/>
      <c r="S900" s="261"/>
      <c r="T900" s="261"/>
      <c r="U900" s="261"/>
      <c r="V900" s="261"/>
      <c r="W900" s="261"/>
      <c r="X900" s="261"/>
      <c r="Y900" s="261"/>
      <c r="Z900" s="237" t="str">
        <f>BIN2HEX(RIGHT((LEFT(Z896,16)),4))</f>
        <v>0</v>
      </c>
    </row>
    <row r="901" spans="2:26" ht="13.5" thickBot="1">
      <c r="B901" s="264" t="s">
        <v>17</v>
      </c>
      <c r="C901" s="277" t="s">
        <v>1266</v>
      </c>
      <c r="D901" s="265" t="str">
        <f>HEX2BIN(D900,D899)</f>
        <v>0</v>
      </c>
      <c r="E901" s="265" t="str">
        <f>HEX2BIN(E900,E899)</f>
        <v>100101</v>
      </c>
      <c r="F901" s="261"/>
      <c r="G901" s="261"/>
      <c r="H901" s="261"/>
      <c r="I901" s="261"/>
      <c r="J901" s="261"/>
      <c r="K901" s="261"/>
      <c r="L901" s="261"/>
      <c r="M901" s="261"/>
      <c r="N901" s="261"/>
      <c r="O901" s="261"/>
      <c r="P901" s="261"/>
      <c r="Q901" s="261"/>
      <c r="R901" s="261"/>
      <c r="S901" s="261"/>
      <c r="T901" s="261"/>
      <c r="U901" s="261"/>
      <c r="V901" s="261"/>
      <c r="W901" s="261"/>
      <c r="X901" s="261"/>
      <c r="Y901" s="261"/>
      <c r="Z901" s="237" t="str">
        <f>BIN2HEX(RIGHT((LEFT(Z896,20)),4))</f>
        <v>0</v>
      </c>
    </row>
    <row r="902" spans="2:26" ht="13.5" thickBot="1">
      <c r="B902" s="266" t="s">
        <v>18</v>
      </c>
      <c r="C902" s="267" t="str">
        <f>CONCATENATE("0x",Z897,Z898,Z899,Z900,Z901,Z902,Z903,Z904)</f>
        <v>0x00000025</v>
      </c>
      <c r="I902" s="278"/>
      <c r="J902" s="278"/>
      <c r="Z902" s="237" t="str">
        <f>BIN2HEX(RIGHT((LEFT(Z896,24)),4))</f>
        <v>0</v>
      </c>
    </row>
    <row r="903" spans="2:26">
      <c r="I903" s="278"/>
      <c r="J903" s="278"/>
      <c r="Z903" s="237" t="str">
        <f>BIN2HEX(RIGHT((LEFT(Z896,28)),4))</f>
        <v>2</v>
      </c>
    </row>
    <row r="904" spans="2:26">
      <c r="I904" s="278"/>
      <c r="J904" s="278"/>
      <c r="Z904" s="237" t="str">
        <f>BIN2HEX(RIGHT((LEFT(Z896,33)),4))</f>
        <v>5</v>
      </c>
    </row>
    <row r="905" spans="2:26">
      <c r="I905" s="278"/>
      <c r="J905" s="278"/>
    </row>
    <row r="906" spans="2:26">
      <c r="I906" s="278"/>
      <c r="J906" s="278"/>
    </row>
    <row r="907" spans="2:26">
      <c r="I907" s="278"/>
      <c r="J907" s="278"/>
    </row>
    <row r="908" spans="2:26">
      <c r="Z908" s="248" t="s">
        <v>1270</v>
      </c>
    </row>
    <row r="909" spans="2:26" ht="13.5" thickBot="1">
      <c r="Z909" s="237" t="str">
        <f>CONCATENATE(C914,D914,E914,F914,G914,H914,I914,J914,K914)</f>
        <v>00000000000000000000000000000000</v>
      </c>
    </row>
    <row r="910" spans="2:26" ht="13.5" thickBot="1">
      <c r="B910" s="245" t="s">
        <v>1375</v>
      </c>
      <c r="C910" s="246"/>
      <c r="D910" s="246"/>
      <c r="E910" s="246"/>
      <c r="F910" s="246"/>
      <c r="G910" s="246"/>
      <c r="H910" s="246"/>
      <c r="I910" s="246"/>
      <c r="J910" s="246"/>
      <c r="K910" s="246"/>
      <c r="L910" s="276"/>
      <c r="M910" s="248"/>
      <c r="N910" s="248"/>
      <c r="O910" s="248"/>
      <c r="P910" s="248"/>
      <c r="Q910" s="248"/>
      <c r="R910" s="248"/>
      <c r="S910" s="248"/>
      <c r="T910" s="248"/>
      <c r="U910" s="248"/>
      <c r="V910" s="248"/>
      <c r="W910" s="248"/>
      <c r="X910" s="248"/>
      <c r="Y910" s="248"/>
      <c r="Z910" s="237" t="str">
        <f>BIN2HEX(RIGHT((LEFT(Z909,4)),4))</f>
        <v>0</v>
      </c>
    </row>
    <row r="911" spans="2:26" ht="13.5" thickTop="1">
      <c r="B911" s="249"/>
      <c r="C911" s="268" t="s">
        <v>1248</v>
      </c>
      <c r="D911" s="251" t="s">
        <v>1278</v>
      </c>
      <c r="E911" s="251" t="s">
        <v>1277</v>
      </c>
      <c r="F911" s="251" t="s">
        <v>1276</v>
      </c>
      <c r="G911" s="251" t="s">
        <v>1275</v>
      </c>
      <c r="H911" s="251" t="s">
        <v>1274</v>
      </c>
      <c r="I911" s="251" t="s">
        <v>1273</v>
      </c>
      <c r="J911" s="251" t="s">
        <v>1272</v>
      </c>
      <c r="K911" s="251" t="s">
        <v>1271</v>
      </c>
      <c r="L911" s="271"/>
      <c r="M911" s="272"/>
      <c r="N911" s="272"/>
      <c r="O911" s="272"/>
      <c r="P911" s="272"/>
      <c r="Q911" s="272"/>
      <c r="R911" s="272"/>
      <c r="S911" s="272"/>
      <c r="T911" s="272"/>
      <c r="U911" s="272"/>
      <c r="V911" s="272"/>
      <c r="W911" s="272"/>
      <c r="X911" s="272"/>
      <c r="Y911" s="272"/>
      <c r="Z911" s="237" t="str">
        <f>BIN2HEX(RIGHT((LEFT(Z909,8)),4))</f>
        <v>0</v>
      </c>
    </row>
    <row r="912" spans="2:26">
      <c r="B912" s="255" t="s">
        <v>189</v>
      </c>
      <c r="C912" s="256">
        <v>24</v>
      </c>
      <c r="D912" s="257">
        <v>1</v>
      </c>
      <c r="E912" s="257">
        <v>1</v>
      </c>
      <c r="F912" s="257">
        <v>1</v>
      </c>
      <c r="G912" s="257">
        <v>1</v>
      </c>
      <c r="H912" s="257">
        <v>1</v>
      </c>
      <c r="I912" s="257">
        <v>1</v>
      </c>
      <c r="J912" s="257">
        <v>1</v>
      </c>
      <c r="K912" s="257">
        <v>1</v>
      </c>
      <c r="L912" s="274"/>
      <c r="M912" s="272"/>
      <c r="N912" s="272"/>
      <c r="O912" s="272"/>
      <c r="P912" s="272"/>
      <c r="Q912" s="272"/>
      <c r="R912" s="272"/>
      <c r="S912" s="272"/>
      <c r="T912" s="272"/>
      <c r="U912" s="272"/>
      <c r="V912" s="272"/>
      <c r="W912" s="272"/>
      <c r="X912" s="272"/>
      <c r="Y912" s="272"/>
      <c r="Z912" s="237" t="str">
        <f>BIN2HEX(RIGHT((LEFT(Z909,12)),4))</f>
        <v>0</v>
      </c>
    </row>
    <row r="913" spans="2:26">
      <c r="B913" s="262" t="s">
        <v>16</v>
      </c>
      <c r="C913" s="263">
        <v>0</v>
      </c>
      <c r="D913" s="259">
        <v>0</v>
      </c>
      <c r="E913" s="259">
        <v>0</v>
      </c>
      <c r="F913" s="259">
        <v>0</v>
      </c>
      <c r="G913" s="259">
        <v>0</v>
      </c>
      <c r="H913" s="259">
        <v>0</v>
      </c>
      <c r="I913" s="259">
        <v>0</v>
      </c>
      <c r="J913" s="259">
        <v>0</v>
      </c>
      <c r="K913" s="259">
        <f>IF(PL=0,0,IF(PL=4,1,"ERROR"))</f>
        <v>0</v>
      </c>
      <c r="L913" s="261"/>
      <c r="M913" s="261"/>
      <c r="N913" s="261"/>
      <c r="O913" s="261"/>
      <c r="P913" s="261"/>
      <c r="Q913" s="261"/>
      <c r="R913" s="261"/>
      <c r="S913" s="261"/>
      <c r="T913" s="261"/>
      <c r="U913" s="261"/>
      <c r="V913" s="261"/>
      <c r="W913" s="261"/>
      <c r="X913" s="261"/>
      <c r="Y913" s="261"/>
      <c r="Z913" s="237" t="str">
        <f>BIN2HEX(RIGHT((LEFT(Z909,16)),4))</f>
        <v>0</v>
      </c>
    </row>
    <row r="914" spans="2:26" ht="13.5" thickBot="1">
      <c r="B914" s="264" t="s">
        <v>17</v>
      </c>
      <c r="C914" s="277" t="s">
        <v>1249</v>
      </c>
      <c r="D914" s="265" t="str">
        <f t="shared" ref="D914:K914" si="44">HEX2BIN(D913,D912)</f>
        <v>0</v>
      </c>
      <c r="E914" s="265" t="str">
        <f t="shared" si="44"/>
        <v>0</v>
      </c>
      <c r="F914" s="265" t="str">
        <f t="shared" si="44"/>
        <v>0</v>
      </c>
      <c r="G914" s="265" t="str">
        <f t="shared" si="44"/>
        <v>0</v>
      </c>
      <c r="H914" s="265" t="str">
        <f t="shared" si="44"/>
        <v>0</v>
      </c>
      <c r="I914" s="265" t="str">
        <f t="shared" si="44"/>
        <v>0</v>
      </c>
      <c r="J914" s="265" t="str">
        <f t="shared" si="44"/>
        <v>0</v>
      </c>
      <c r="K914" s="265" t="str">
        <f t="shared" si="44"/>
        <v>0</v>
      </c>
      <c r="L914" s="261"/>
      <c r="M914" s="261"/>
      <c r="N914" s="261"/>
      <c r="O914" s="261"/>
      <c r="P914" s="261"/>
      <c r="Q914" s="261"/>
      <c r="R914" s="261"/>
      <c r="S914" s="261"/>
      <c r="T914" s="261"/>
      <c r="U914" s="261"/>
      <c r="V914" s="261"/>
      <c r="W914" s="261"/>
      <c r="X914" s="261"/>
      <c r="Y914" s="261"/>
      <c r="Z914" s="237" t="str">
        <f>BIN2HEX(RIGHT((LEFT(Z909,20)),4))</f>
        <v>0</v>
      </c>
    </row>
    <row r="915" spans="2:26" ht="13.5" thickBot="1">
      <c r="B915" s="266" t="s">
        <v>18</v>
      </c>
      <c r="C915" s="267" t="str">
        <f>CONCATENATE("0x",Z910,Z911,Z912,Z913,Z914,Z915,Z916,Z917)</f>
        <v>0x00000000</v>
      </c>
      <c r="Z915" s="237" t="str">
        <f>BIN2HEX(RIGHT((LEFT(Z909,24)),4))</f>
        <v>0</v>
      </c>
    </row>
    <row r="916" spans="2:26">
      <c r="Z916" s="237" t="str">
        <f>BIN2HEX(RIGHT((LEFT(Z909,28)),4))</f>
        <v>0</v>
      </c>
    </row>
    <row r="917" spans="2:26">
      <c r="Z917" s="237" t="str">
        <f>BIN2HEX(RIGHT((LEFT(Z909,33)),4))</f>
        <v>0</v>
      </c>
    </row>
    <row r="919" spans="2:26">
      <c r="Z919" s="248" t="s">
        <v>1279</v>
      </c>
    </row>
    <row r="920" spans="2:26" ht="13.5" thickBot="1">
      <c r="Z920" s="237" t="str">
        <f>CONCATENATE(C925,D925,E925)</f>
        <v>00000000000000000000000000100101</v>
      </c>
    </row>
    <row r="921" spans="2:26" ht="13.5" thickBot="1">
      <c r="B921" s="245" t="s">
        <v>1376</v>
      </c>
      <c r="C921" s="246"/>
      <c r="D921" s="246"/>
      <c r="E921" s="246"/>
      <c r="F921" s="276"/>
      <c r="G921" s="276"/>
      <c r="H921" s="276"/>
      <c r="I921" s="276"/>
      <c r="J921" s="248"/>
      <c r="K921" s="248"/>
      <c r="L921" s="248"/>
      <c r="M921" s="248"/>
      <c r="N921" s="248"/>
      <c r="O921" s="248"/>
      <c r="P921" s="248"/>
      <c r="Q921" s="248"/>
      <c r="R921" s="248"/>
      <c r="S921" s="248"/>
      <c r="T921" s="248"/>
      <c r="U921" s="248"/>
      <c r="V921" s="248"/>
      <c r="W921" s="248"/>
      <c r="X921" s="248"/>
      <c r="Y921" s="248"/>
      <c r="Z921" s="237" t="str">
        <f>BIN2HEX(RIGHT((LEFT(Z920,4)),4))</f>
        <v>0</v>
      </c>
    </row>
    <row r="922" spans="2:26" ht="13.5" thickTop="1">
      <c r="B922" s="249"/>
      <c r="C922" s="268" t="s">
        <v>1265</v>
      </c>
      <c r="D922" s="251" t="s">
        <v>1281</v>
      </c>
      <c r="E922" s="251" t="s">
        <v>1280</v>
      </c>
      <c r="F922" s="271"/>
      <c r="G922" s="271"/>
      <c r="H922" s="271"/>
      <c r="I922" s="271"/>
      <c r="J922" s="272"/>
      <c r="K922" s="272"/>
      <c r="L922" s="272"/>
      <c r="M922" s="272"/>
      <c r="N922" s="272"/>
      <c r="O922" s="272"/>
      <c r="P922" s="272"/>
      <c r="Q922" s="272"/>
      <c r="R922" s="272"/>
      <c r="S922" s="272"/>
      <c r="T922" s="272"/>
      <c r="U922" s="272"/>
      <c r="V922" s="272"/>
      <c r="W922" s="272"/>
      <c r="X922" s="272"/>
      <c r="Y922" s="272"/>
      <c r="Z922" s="237" t="str">
        <f>BIN2HEX(RIGHT((LEFT(Z920,8)),4))</f>
        <v>0</v>
      </c>
    </row>
    <row r="923" spans="2:26">
      <c r="B923" s="255" t="s">
        <v>189</v>
      </c>
      <c r="C923" s="256">
        <v>25</v>
      </c>
      <c r="D923" s="257">
        <v>1</v>
      </c>
      <c r="E923" s="257">
        <v>6</v>
      </c>
      <c r="F923" s="274"/>
      <c r="G923" s="274"/>
      <c r="H923" s="274"/>
      <c r="I923" s="274"/>
      <c r="J923" s="272"/>
      <c r="K923" s="272"/>
      <c r="L923" s="272"/>
      <c r="M923" s="272"/>
      <c r="N923" s="272"/>
      <c r="O923" s="272"/>
      <c r="P923" s="272"/>
      <c r="Q923" s="272"/>
      <c r="R923" s="272"/>
      <c r="S923" s="272"/>
      <c r="T923" s="272"/>
      <c r="U923" s="272"/>
      <c r="V923" s="272"/>
      <c r="W923" s="272"/>
      <c r="X923" s="272"/>
      <c r="Y923" s="272"/>
      <c r="Z923" s="237" t="str">
        <f>BIN2HEX(RIGHT((LEFT(Z920,12)),4))</f>
        <v>0</v>
      </c>
    </row>
    <row r="924" spans="2:26">
      <c r="B924" s="262" t="s">
        <v>16</v>
      </c>
      <c r="C924" s="263">
        <v>0</v>
      </c>
      <c r="D924" s="283" t="str">
        <f>MR14_6</f>
        <v>0</v>
      </c>
      <c r="E924" s="283" t="str">
        <f>MR14_5_0</f>
        <v>25</v>
      </c>
      <c r="F924" s="261"/>
      <c r="G924" s="261"/>
      <c r="H924" s="261"/>
      <c r="I924" s="261"/>
      <c r="J924" s="261"/>
      <c r="K924" s="261"/>
      <c r="L924" s="261"/>
      <c r="M924" s="261"/>
      <c r="N924" s="261"/>
      <c r="O924" s="261"/>
      <c r="P924" s="261"/>
      <c r="Q924" s="261"/>
      <c r="R924" s="261"/>
      <c r="S924" s="261"/>
      <c r="T924" s="261"/>
      <c r="U924" s="261"/>
      <c r="V924" s="261"/>
      <c r="W924" s="261"/>
      <c r="X924" s="261"/>
      <c r="Y924" s="261"/>
      <c r="Z924" s="237" t="str">
        <f>BIN2HEX(RIGHT((LEFT(Z920,16)),4))</f>
        <v>0</v>
      </c>
    </row>
    <row r="925" spans="2:26" ht="13.5" thickBot="1">
      <c r="B925" s="264" t="s">
        <v>17</v>
      </c>
      <c r="C925" s="277" t="s">
        <v>1266</v>
      </c>
      <c r="D925" s="265" t="str">
        <f>HEX2BIN(D924,D923)</f>
        <v>0</v>
      </c>
      <c r="E925" s="265" t="str">
        <f>HEX2BIN(E924,E923)</f>
        <v>100101</v>
      </c>
      <c r="F925" s="261"/>
      <c r="G925" s="261"/>
      <c r="H925" s="261"/>
      <c r="I925" s="261"/>
      <c r="J925" s="261"/>
      <c r="K925" s="261"/>
      <c r="L925" s="261"/>
      <c r="M925" s="261"/>
      <c r="N925" s="261"/>
      <c r="O925" s="261"/>
      <c r="P925" s="261"/>
      <c r="Q925" s="261"/>
      <c r="R925" s="261"/>
      <c r="S925" s="261"/>
      <c r="T925" s="261"/>
      <c r="U925" s="261"/>
      <c r="V925" s="261"/>
      <c r="W925" s="261"/>
      <c r="X925" s="261"/>
      <c r="Y925" s="261"/>
      <c r="Z925" s="237" t="str">
        <f>BIN2HEX(RIGHT((LEFT(Z920,20)),4))</f>
        <v>0</v>
      </c>
    </row>
    <row r="926" spans="2:26" ht="13.5" thickBot="1">
      <c r="B926" s="266" t="s">
        <v>18</v>
      </c>
      <c r="C926" s="267" t="str">
        <f>CONCATENATE("0x",Z921,Z922,Z923,Z924,Z925,Z926,Z927,Z928)</f>
        <v>0x00000025</v>
      </c>
      <c r="Z926" s="237" t="str">
        <f>BIN2HEX(RIGHT((LEFT(Z920,24)),4))</f>
        <v>0</v>
      </c>
    </row>
    <row r="927" spans="2:26">
      <c r="Z927" s="237" t="str">
        <f>BIN2HEX(RIGHT((LEFT(Z920,28)),4))</f>
        <v>2</v>
      </c>
    </row>
    <row r="928" spans="2:26">
      <c r="Z928" s="237" t="str">
        <f>BIN2HEX(RIGHT((LEFT(Z920,33)),4))</f>
        <v>5</v>
      </c>
    </row>
    <row r="929" spans="2:26">
      <c r="Z929" s="248" t="s">
        <v>1282</v>
      </c>
    </row>
    <row r="930" spans="2:26" ht="13.5" thickBot="1">
      <c r="Z930" s="237" t="str">
        <f>CONCATENATE(C935,D935,E935,F935,G935)</f>
        <v>00000000000000000000000000000000</v>
      </c>
    </row>
    <row r="931" spans="2:26" ht="13.5" thickBot="1">
      <c r="B931" s="245" t="s">
        <v>1377</v>
      </c>
      <c r="C931" s="246"/>
      <c r="D931" s="246"/>
      <c r="E931" s="246"/>
      <c r="F931" s="246"/>
      <c r="G931" s="246"/>
      <c r="H931" s="248"/>
      <c r="I931" s="248"/>
      <c r="J931" s="248"/>
      <c r="K931" s="248"/>
      <c r="L931" s="248"/>
      <c r="M931" s="248"/>
      <c r="N931" s="248"/>
      <c r="O931" s="248"/>
      <c r="P931" s="248"/>
      <c r="Q931" s="248"/>
      <c r="R931" s="248"/>
      <c r="S931" s="248"/>
      <c r="T931" s="248"/>
      <c r="U931" s="248"/>
      <c r="V931" s="248"/>
      <c r="W931" s="248"/>
      <c r="X931" s="248"/>
      <c r="Y931" s="248"/>
      <c r="Z931" s="237" t="str">
        <f>BIN2HEX(RIGHT((LEFT(Z930,4)),4))</f>
        <v>0</v>
      </c>
    </row>
    <row r="932" spans="2:26" ht="13.5" thickTop="1">
      <c r="B932" s="249"/>
      <c r="C932" s="268" t="s">
        <v>1283</v>
      </c>
      <c r="D932" s="251" t="s">
        <v>1285</v>
      </c>
      <c r="E932" s="251" t="s">
        <v>1286</v>
      </c>
      <c r="F932" s="251" t="s">
        <v>1287</v>
      </c>
      <c r="G932" s="251" t="s">
        <v>1288</v>
      </c>
      <c r="H932" s="272"/>
      <c r="I932" s="272"/>
      <c r="J932" s="272"/>
      <c r="K932" s="272"/>
      <c r="L932" s="272"/>
      <c r="M932" s="272"/>
      <c r="N932" s="272"/>
      <c r="O932" s="272"/>
      <c r="P932" s="272"/>
      <c r="Q932" s="272"/>
      <c r="R932" s="272"/>
      <c r="S932" s="272"/>
      <c r="T932" s="272"/>
      <c r="U932" s="272"/>
      <c r="V932" s="272"/>
      <c r="W932" s="272"/>
      <c r="X932" s="272"/>
      <c r="Y932" s="272"/>
      <c r="Z932" s="237" t="str">
        <f>BIN2HEX(RIGHT((LEFT(Z930,8)),4))</f>
        <v>0</v>
      </c>
    </row>
    <row r="933" spans="2:26">
      <c r="B933" s="255" t="s">
        <v>189</v>
      </c>
      <c r="C933" s="256">
        <v>26</v>
      </c>
      <c r="D933" s="257">
        <v>1</v>
      </c>
      <c r="E933" s="257">
        <v>1</v>
      </c>
      <c r="F933" s="257">
        <v>1</v>
      </c>
      <c r="G933" s="257">
        <v>3</v>
      </c>
      <c r="H933" s="272"/>
      <c r="I933" s="272"/>
      <c r="J933" s="272"/>
      <c r="K933" s="272"/>
      <c r="L933" s="272"/>
      <c r="M933" s="272"/>
      <c r="N933" s="272"/>
      <c r="O933" s="272"/>
      <c r="P933" s="272"/>
      <c r="Q933" s="272"/>
      <c r="R933" s="272"/>
      <c r="S933" s="272"/>
      <c r="T933" s="272"/>
      <c r="U933" s="272"/>
      <c r="V933" s="272"/>
      <c r="W933" s="272"/>
      <c r="X933" s="272"/>
      <c r="Y933" s="272"/>
      <c r="Z933" s="237" t="str">
        <f>BIN2HEX(RIGHT((LEFT(Z930,12)),4))</f>
        <v>0</v>
      </c>
    </row>
    <row r="934" spans="2:26">
      <c r="B934" s="262" t="s">
        <v>16</v>
      </c>
      <c r="C934" s="263">
        <v>0</v>
      </c>
      <c r="D934" s="259">
        <v>0</v>
      </c>
      <c r="E934" s="259">
        <v>0</v>
      </c>
      <c r="F934" s="259">
        <v>0</v>
      </c>
      <c r="G934" s="259">
        <v>0</v>
      </c>
      <c r="H934" s="261"/>
      <c r="I934" s="261"/>
      <c r="J934" s="261"/>
      <c r="K934" s="261"/>
      <c r="L934" s="261"/>
      <c r="M934" s="261"/>
      <c r="N934" s="261"/>
      <c r="O934" s="261"/>
      <c r="P934" s="261"/>
      <c r="Q934" s="261"/>
      <c r="R934" s="261"/>
      <c r="S934" s="261"/>
      <c r="T934" s="261"/>
      <c r="U934" s="261"/>
      <c r="V934" s="261"/>
      <c r="W934" s="261"/>
      <c r="X934" s="261"/>
      <c r="Y934" s="261"/>
      <c r="Z934" s="237" t="str">
        <f>BIN2HEX(RIGHT((LEFT(Z930,16)),4))</f>
        <v>0</v>
      </c>
    </row>
    <row r="935" spans="2:26" ht="13.5" thickBot="1">
      <c r="B935" s="264" t="s">
        <v>17</v>
      </c>
      <c r="C935" s="277" t="s">
        <v>1284</v>
      </c>
      <c r="D935" s="265" t="str">
        <f>HEX2BIN(D934,D933)</f>
        <v>0</v>
      </c>
      <c r="E935" s="265" t="str">
        <f>HEX2BIN(E934,E933)</f>
        <v>0</v>
      </c>
      <c r="F935" s="265" t="str">
        <f>HEX2BIN(F934,F933)</f>
        <v>0</v>
      </c>
      <c r="G935" s="265" t="str">
        <f>HEX2BIN(G934,G933)</f>
        <v>000</v>
      </c>
      <c r="H935" s="261"/>
      <c r="I935" s="261"/>
      <c r="J935" s="261"/>
      <c r="K935" s="261"/>
      <c r="L935" s="261"/>
      <c r="M935" s="261"/>
      <c r="N935" s="261"/>
      <c r="O935" s="261"/>
      <c r="P935" s="261"/>
      <c r="Q935" s="261"/>
      <c r="R935" s="261"/>
      <c r="S935" s="261"/>
      <c r="T935" s="261"/>
      <c r="U935" s="261"/>
      <c r="V935" s="261"/>
      <c r="W935" s="261"/>
      <c r="X935" s="261"/>
      <c r="Y935" s="261"/>
      <c r="Z935" s="237" t="str">
        <f>BIN2HEX(RIGHT((LEFT(Z930,20)),4))</f>
        <v>0</v>
      </c>
    </row>
    <row r="936" spans="2:26" ht="13.5" thickBot="1">
      <c r="B936" s="266" t="s">
        <v>18</v>
      </c>
      <c r="C936" s="267" t="str">
        <f>CONCATENATE("0x",Z931,Z932,Z933,Z934,Z935,Z936,Z937,Z938)</f>
        <v>0x00000000</v>
      </c>
      <c r="Z936" s="237" t="str">
        <f>BIN2HEX(RIGHT((LEFT(Z930,24)),4))</f>
        <v>0</v>
      </c>
    </row>
    <row r="937" spans="2:26">
      <c r="Z937" s="237" t="str">
        <f>BIN2HEX(RIGHT((LEFT(Z930,28)),4))</f>
        <v>0</v>
      </c>
    </row>
    <row r="938" spans="2:26">
      <c r="Z938" s="237" t="str">
        <f>BIN2HEX(RIGHT((LEFT(Z930,33)),4))</f>
        <v>0</v>
      </c>
    </row>
    <row r="939" spans="2:26">
      <c r="I939" s="278"/>
      <c r="J939" s="278"/>
    </row>
    <row r="941" spans="2:26">
      <c r="Z941" s="248" t="s">
        <v>1219</v>
      </c>
    </row>
    <row r="942" spans="2:26" ht="13.5" thickBot="1">
      <c r="Z942" s="237" t="str">
        <f>CONCATENATE(C947,D947,E947,F947,G947,H947,I947,J947,K947,L947)</f>
        <v>00000111000000000001111000000000</v>
      </c>
    </row>
    <row r="943" spans="2:26" ht="13.5" thickBot="1">
      <c r="B943" s="245" t="s">
        <v>799</v>
      </c>
      <c r="C943" s="246"/>
      <c r="D943" s="246"/>
      <c r="E943" s="246"/>
      <c r="F943" s="246"/>
      <c r="G943" s="246"/>
      <c r="H943" s="246"/>
      <c r="I943" s="246"/>
      <c r="J943" s="246"/>
      <c r="K943" s="246"/>
      <c r="L943" s="246"/>
      <c r="M943" s="276"/>
      <c r="N943" s="276"/>
      <c r="O943" s="276"/>
      <c r="P943" s="248"/>
      <c r="Q943" s="248"/>
      <c r="R943" s="248"/>
      <c r="S943" s="248"/>
      <c r="T943" s="248"/>
      <c r="U943" s="248"/>
      <c r="V943" s="248"/>
      <c r="W943" s="248"/>
      <c r="X943" s="248"/>
      <c r="Y943" s="248"/>
      <c r="Z943" s="237" t="str">
        <f>BIN2HEX(RIGHT((LEFT(Z942,4)),4))</f>
        <v>0</v>
      </c>
    </row>
    <row r="944" spans="2:26" ht="13.5" thickTop="1">
      <c r="B944" s="249"/>
      <c r="C944" s="268" t="s">
        <v>1220</v>
      </c>
      <c r="D944" s="251" t="s">
        <v>1221</v>
      </c>
      <c r="E944" s="251" t="s">
        <v>1222</v>
      </c>
      <c r="F944" s="251" t="s">
        <v>1223</v>
      </c>
      <c r="G944" s="251" t="s">
        <v>1224</v>
      </c>
      <c r="H944" s="251" t="s">
        <v>1225</v>
      </c>
      <c r="I944" s="251" t="s">
        <v>1226</v>
      </c>
      <c r="J944" s="251" t="s">
        <v>1227</v>
      </c>
      <c r="K944" s="251" t="s">
        <v>1228</v>
      </c>
      <c r="L944" s="251" t="s">
        <v>1229</v>
      </c>
      <c r="M944" s="271"/>
      <c r="N944" s="271"/>
      <c r="O944" s="271"/>
      <c r="P944" s="272"/>
      <c r="Q944" s="272"/>
      <c r="R944" s="272"/>
      <c r="S944" s="272"/>
      <c r="T944" s="272"/>
      <c r="U944" s="272"/>
      <c r="V944" s="272"/>
      <c r="W944" s="272"/>
      <c r="X944" s="272"/>
      <c r="Y944" s="272"/>
      <c r="Z944" s="237" t="str">
        <f>BIN2HEX(RIGHT((LEFT(Z942,8)),4))</f>
        <v>7</v>
      </c>
    </row>
    <row r="945" spans="2:26">
      <c r="B945" s="255" t="s">
        <v>189</v>
      </c>
      <c r="C945" s="256">
        <v>1</v>
      </c>
      <c r="D945" s="257">
        <v>4</v>
      </c>
      <c r="E945" s="257">
        <v>1</v>
      </c>
      <c r="F945" s="257">
        <v>2</v>
      </c>
      <c r="G945" s="257">
        <v>5</v>
      </c>
      <c r="H945" s="257">
        <v>5</v>
      </c>
      <c r="I945" s="257">
        <v>1</v>
      </c>
      <c r="J945" s="257">
        <v>4</v>
      </c>
      <c r="K945" s="257">
        <v>1</v>
      </c>
      <c r="L945" s="257">
        <v>8</v>
      </c>
      <c r="M945" s="274"/>
      <c r="N945" s="274"/>
      <c r="O945" s="274"/>
      <c r="P945" s="272"/>
      <c r="Q945" s="272"/>
      <c r="R945" s="272"/>
      <c r="S945" s="272"/>
      <c r="T945" s="272"/>
      <c r="U945" s="272"/>
      <c r="V945" s="272"/>
      <c r="W945" s="272"/>
      <c r="X945" s="272"/>
      <c r="Y945" s="272"/>
      <c r="Z945" s="237" t="str">
        <f>BIN2HEX(RIGHT((LEFT(Z942,12)),4))</f>
        <v>0</v>
      </c>
    </row>
    <row r="946" spans="2:26">
      <c r="B946" s="262" t="s">
        <v>16</v>
      </c>
      <c r="C946" s="263">
        <f>IF(Memory_Type="LPDDR4",1,0)</f>
        <v>0</v>
      </c>
      <c r="D946" s="259">
        <v>0</v>
      </c>
      <c r="E946" s="259">
        <v>1</v>
      </c>
      <c r="F946" s="259">
        <v>3</v>
      </c>
      <c r="G946" s="259">
        <v>0</v>
      </c>
      <c r="H946" s="259">
        <v>0</v>
      </c>
      <c r="I946" s="259">
        <v>0</v>
      </c>
      <c r="J946" s="259" t="s">
        <v>714</v>
      </c>
      <c r="K946" s="259">
        <v>0</v>
      </c>
      <c r="L946" s="259">
        <v>0</v>
      </c>
      <c r="M946" s="261"/>
      <c r="N946" s="261"/>
      <c r="O946" s="261"/>
      <c r="P946" s="261"/>
      <c r="Q946" s="261"/>
      <c r="R946" s="261"/>
      <c r="S946" s="261"/>
      <c r="T946" s="261"/>
      <c r="U946" s="261"/>
      <c r="V946" s="261"/>
      <c r="W946" s="261"/>
      <c r="X946" s="261"/>
      <c r="Y946" s="261"/>
      <c r="Z946" s="237" t="str">
        <f>BIN2HEX(RIGHT((LEFT(Z942,16)),4))</f>
        <v>0</v>
      </c>
    </row>
    <row r="947" spans="2:26" ht="13.5" thickBot="1">
      <c r="B947" s="264" t="s">
        <v>17</v>
      </c>
      <c r="C947" s="265" t="str">
        <f t="shared" ref="C947:L947" si="45">HEX2BIN(C946,C945)</f>
        <v>0</v>
      </c>
      <c r="D947" s="265" t="str">
        <f t="shared" si="45"/>
        <v>0000</v>
      </c>
      <c r="E947" s="265" t="str">
        <f t="shared" si="45"/>
        <v>1</v>
      </c>
      <c r="F947" s="265" t="str">
        <f t="shared" si="45"/>
        <v>11</v>
      </c>
      <c r="G947" s="265" t="str">
        <f t="shared" si="45"/>
        <v>00000</v>
      </c>
      <c r="H947" s="265" t="str">
        <f t="shared" si="45"/>
        <v>00000</v>
      </c>
      <c r="I947" s="265" t="str">
        <f t="shared" si="45"/>
        <v>0</v>
      </c>
      <c r="J947" s="265" t="str">
        <f t="shared" si="45"/>
        <v>1111</v>
      </c>
      <c r="K947" s="265" t="str">
        <f t="shared" si="45"/>
        <v>0</v>
      </c>
      <c r="L947" s="265" t="str">
        <f t="shared" si="45"/>
        <v>00000000</v>
      </c>
      <c r="M947" s="261"/>
      <c r="N947" s="261"/>
      <c r="O947" s="261"/>
      <c r="P947" s="261"/>
      <c r="Q947" s="261"/>
      <c r="R947" s="261"/>
      <c r="S947" s="261"/>
      <c r="T947" s="261"/>
      <c r="U947" s="261"/>
      <c r="V947" s="261"/>
      <c r="W947" s="261"/>
      <c r="X947" s="261"/>
      <c r="Y947" s="261"/>
      <c r="Z947" s="237" t="str">
        <f>BIN2HEX(RIGHT((LEFT(Z942,20)),4))</f>
        <v>1</v>
      </c>
    </row>
    <row r="948" spans="2:26" ht="13.5" thickBot="1">
      <c r="B948" s="266" t="s">
        <v>18</v>
      </c>
      <c r="C948" s="267" t="str">
        <f>CONCATENATE("0x",Z943,Z944,Z945,Z946,Z947,Z948,Z949,Z950)</f>
        <v>0x07001E00</v>
      </c>
      <c r="I948" s="278"/>
      <c r="J948" s="278"/>
      <c r="Z948" s="237" t="str">
        <f>BIN2HEX(RIGHT((LEFT(Z942,24)),4))</f>
        <v>E</v>
      </c>
    </row>
    <row r="949" spans="2:26">
      <c r="I949" s="278"/>
      <c r="J949" s="278"/>
      <c r="Z949" s="237" t="str">
        <f>BIN2HEX(RIGHT((LEFT(Z942,28)),4))</f>
        <v>0</v>
      </c>
    </row>
    <row r="950" spans="2:26">
      <c r="I950" s="278"/>
      <c r="J950" s="278"/>
      <c r="Z950" s="237" t="str">
        <f>BIN2HEX(RIGHT((LEFT(Z942,33)),4))</f>
        <v>0</v>
      </c>
    </row>
    <row r="953" spans="2:26">
      <c r="I953" s="278"/>
      <c r="J953" s="278"/>
    </row>
    <row r="955" spans="2:26">
      <c r="Z955" s="248" t="s">
        <v>312</v>
      </c>
    </row>
    <row r="956" spans="2:26" ht="13.5" thickBot="1">
      <c r="Z956" s="237" t="str">
        <f>CONCATENATE(C961,D961,E961,F961,G961,H961,I961,J961)</f>
        <v>00000000111100001001111101100000</v>
      </c>
    </row>
    <row r="957" spans="2:26" ht="13.5" thickBot="1">
      <c r="B957" s="245" t="s">
        <v>861</v>
      </c>
      <c r="C957" s="246"/>
      <c r="D957" s="246"/>
      <c r="E957" s="246"/>
      <c r="F957" s="246"/>
      <c r="G957" s="246"/>
      <c r="H957" s="246"/>
      <c r="I957" s="246"/>
      <c r="J957" s="246"/>
      <c r="K957" s="276"/>
      <c r="L957" s="276"/>
      <c r="M957" s="276"/>
      <c r="N957" s="276"/>
      <c r="O957" s="276"/>
      <c r="P957" s="248"/>
      <c r="Q957" s="248"/>
      <c r="R957" s="248"/>
      <c r="S957" s="248"/>
      <c r="T957" s="248"/>
      <c r="U957" s="248"/>
      <c r="V957" s="248"/>
      <c r="W957" s="248"/>
      <c r="X957" s="248"/>
      <c r="Y957" s="248"/>
      <c r="Z957" s="237" t="str">
        <f>BIN2HEX(RIGHT((LEFT(Z956,4)),4))</f>
        <v>0</v>
      </c>
    </row>
    <row r="958" spans="2:26" ht="13.5" thickTop="1">
      <c r="B958" s="249"/>
      <c r="C958" s="268" t="s">
        <v>313</v>
      </c>
      <c r="D958" s="251" t="s">
        <v>314</v>
      </c>
      <c r="E958" s="251" t="s">
        <v>315</v>
      </c>
      <c r="F958" s="251" t="s">
        <v>316</v>
      </c>
      <c r="G958" s="251" t="s">
        <v>317</v>
      </c>
      <c r="H958" s="251" t="s">
        <v>318</v>
      </c>
      <c r="I958" s="251" t="s">
        <v>319</v>
      </c>
      <c r="J958" s="251" t="s">
        <v>320</v>
      </c>
      <c r="K958" s="271"/>
      <c r="L958" s="271"/>
      <c r="M958" s="271"/>
      <c r="N958" s="271"/>
      <c r="O958" s="271"/>
      <c r="P958" s="272"/>
      <c r="Q958" s="272"/>
      <c r="R958" s="272"/>
      <c r="S958" s="272"/>
      <c r="T958" s="272"/>
      <c r="U958" s="272"/>
      <c r="V958" s="272"/>
      <c r="W958" s="272"/>
      <c r="X958" s="272"/>
      <c r="Y958" s="272"/>
      <c r="Z958" s="237" t="str">
        <f>BIN2HEX(RIGHT((LEFT(Z956,8)),4))</f>
        <v>0</v>
      </c>
    </row>
    <row r="959" spans="2:26">
      <c r="B959" s="255" t="s">
        <v>189</v>
      </c>
      <c r="C959" s="256">
        <v>1</v>
      </c>
      <c r="D959" s="257">
        <v>1</v>
      </c>
      <c r="E959" s="257">
        <v>1</v>
      </c>
      <c r="F959" s="257">
        <v>1</v>
      </c>
      <c r="G959" s="257">
        <v>8</v>
      </c>
      <c r="H959" s="257">
        <v>1</v>
      </c>
      <c r="I959" s="257">
        <v>1</v>
      </c>
      <c r="J959" s="257">
        <v>18</v>
      </c>
      <c r="K959" s="274"/>
      <c r="L959" s="274"/>
      <c r="M959" s="274"/>
      <c r="N959" s="274"/>
      <c r="O959" s="274"/>
      <c r="P959" s="272"/>
      <c r="Q959" s="272"/>
      <c r="R959" s="272"/>
      <c r="S959" s="272"/>
      <c r="T959" s="272"/>
      <c r="U959" s="272"/>
      <c r="V959" s="272"/>
      <c r="W959" s="272"/>
      <c r="X959" s="272"/>
      <c r="Y959" s="272"/>
      <c r="Z959" s="237" t="str">
        <f>BIN2HEX(RIGHT((LEFT(Z956,12)),4))</f>
        <v>F</v>
      </c>
    </row>
    <row r="960" spans="2:26">
      <c r="B960" s="262" t="s">
        <v>16</v>
      </c>
      <c r="C960" s="263">
        <v>0</v>
      </c>
      <c r="D960" s="259">
        <v>0</v>
      </c>
      <c r="E960" s="259">
        <v>0</v>
      </c>
      <c r="F960" s="259">
        <v>0</v>
      </c>
      <c r="G960" s="259" t="s">
        <v>714</v>
      </c>
      <c r="H960" s="259">
        <v>0</v>
      </c>
      <c r="I960" s="259">
        <v>0</v>
      </c>
      <c r="J960" s="259" t="str">
        <f>IF(OR(Memory_Type="DDR4",Memory_Type="LPDDR4"),DEC2HEX(((HEX2DEC(RFSHDT)*TREFI)/tCK)-800,5),DEC2HEX(((HEX2DEC(RFSHDT)*TREFI)/tCK)-400,5))</f>
        <v>09F60</v>
      </c>
      <c r="K960" s="261"/>
      <c r="L960" s="261"/>
      <c r="M960" s="261"/>
      <c r="N960" s="261"/>
      <c r="O960" s="261"/>
      <c r="P960" s="261"/>
      <c r="Q960" s="261"/>
      <c r="R960" s="261"/>
      <c r="S960" s="261"/>
      <c r="T960" s="261"/>
      <c r="U960" s="261"/>
      <c r="V960" s="261"/>
      <c r="W960" s="261"/>
      <c r="X960" s="261"/>
      <c r="Y960" s="261"/>
      <c r="Z960" s="237" t="str">
        <f>BIN2HEX(RIGHT((LEFT(Z956,16)),4))</f>
        <v>0</v>
      </c>
    </row>
    <row r="961" spans="2:26" ht="13.5" thickBot="1">
      <c r="B961" s="264" t="s">
        <v>17</v>
      </c>
      <c r="C961" s="265" t="str">
        <f t="shared" ref="C961:I961" si="46">HEX2BIN(C960,C959)</f>
        <v>0</v>
      </c>
      <c r="D961" s="265" t="str">
        <f t="shared" si="46"/>
        <v>0</v>
      </c>
      <c r="E961" s="265" t="str">
        <f t="shared" si="46"/>
        <v>0</v>
      </c>
      <c r="F961" s="265" t="str">
        <f t="shared" si="46"/>
        <v>0</v>
      </c>
      <c r="G961" s="265" t="str">
        <f t="shared" si="46"/>
        <v>00001111</v>
      </c>
      <c r="H961" s="265" t="str">
        <f t="shared" si="46"/>
        <v>0</v>
      </c>
      <c r="I961" s="265" t="str">
        <f t="shared" si="46"/>
        <v>0</v>
      </c>
      <c r="J961" s="265" t="str">
        <f>CONCATENATE(HEX2BIN(LEFT(RIGHT(J960,5),1),2),HEX2BIN(LEFT(RIGHT(J960,4),2),8),HEX2BIN(LEFT(RIGHT(J960,2),2),8))</f>
        <v>001001111101100000</v>
      </c>
      <c r="K961" s="261"/>
      <c r="L961" s="261"/>
      <c r="M961" s="261"/>
      <c r="N961" s="261"/>
      <c r="O961" s="261"/>
      <c r="P961" s="261"/>
      <c r="Q961" s="261"/>
      <c r="R961" s="261"/>
      <c r="S961" s="261"/>
      <c r="T961" s="261"/>
      <c r="U961" s="261"/>
      <c r="V961" s="261"/>
      <c r="W961" s="261"/>
      <c r="X961" s="261"/>
      <c r="Y961" s="261"/>
      <c r="Z961" s="237" t="str">
        <f>BIN2HEX(RIGHT((LEFT(Z956,20)),4))</f>
        <v>9</v>
      </c>
    </row>
    <row r="962" spans="2:26" ht="13.5" thickBot="1">
      <c r="B962" s="266" t="s">
        <v>18</v>
      </c>
      <c r="C962" s="267" t="str">
        <f>CONCATENATE("0x",Z957,Z958,Z959,Z960,Z961,Z962,Z963,Z964)</f>
        <v>0x00F09F60</v>
      </c>
      <c r="I962" s="278"/>
      <c r="J962" s="278"/>
      <c r="Z962" s="237" t="str">
        <f>BIN2HEX(RIGHT((LEFT(Z956,24)),4))</f>
        <v>F</v>
      </c>
    </row>
    <row r="963" spans="2:26">
      <c r="I963" s="278"/>
      <c r="J963" s="278"/>
      <c r="Z963" s="237" t="str">
        <f>BIN2HEX(RIGHT((LEFT(Z956,28)),4))</f>
        <v>6</v>
      </c>
    </row>
    <row r="964" spans="2:26">
      <c r="I964" s="278"/>
      <c r="J964" s="278"/>
      <c r="Z964" s="237" t="str">
        <f>BIN2HEX(RIGHT((LEFT(Z956,33)),4))</f>
        <v>0</v>
      </c>
    </row>
    <row r="965" spans="2:26">
      <c r="I965" s="278"/>
      <c r="J965" s="278"/>
    </row>
    <row r="966" spans="2:26">
      <c r="Z966" s="248" t="s">
        <v>651</v>
      </c>
    </row>
    <row r="967" spans="2:26" ht="13.5" thickBot="1">
      <c r="Z967" s="237" t="str">
        <f>CONCATENATE(C972,D972,E972,F972,G972,H972,I972,J972,K972,L972,M972,N972,O972,P972,Q972,R972,S972)</f>
        <v>10000000000000001011000111000111</v>
      </c>
    </row>
    <row r="968" spans="2:26" ht="13.5" thickBot="1">
      <c r="B968" s="245" t="s">
        <v>818</v>
      </c>
      <c r="C968" s="246"/>
      <c r="D968" s="246"/>
      <c r="E968" s="246"/>
      <c r="F968" s="246"/>
      <c r="G968" s="246"/>
      <c r="H968" s="246"/>
      <c r="I968" s="246"/>
      <c r="J968" s="246"/>
      <c r="K968" s="246"/>
      <c r="L968" s="246"/>
      <c r="M968" s="246"/>
      <c r="N968" s="246"/>
      <c r="O968" s="246"/>
      <c r="P968" s="246"/>
      <c r="Q968" s="246"/>
      <c r="R968" s="246"/>
      <c r="S968" s="246"/>
      <c r="T968" s="248"/>
      <c r="U968" s="248"/>
      <c r="V968" s="248"/>
      <c r="W968" s="248"/>
      <c r="X968" s="248"/>
      <c r="Y968" s="248"/>
      <c r="Z968" s="237" t="str">
        <f>BIN2HEX(RIGHT((LEFT(Z967,4)),4))</f>
        <v>8</v>
      </c>
    </row>
    <row r="969" spans="2:26" ht="13.5" thickTop="1">
      <c r="B969" s="249"/>
      <c r="C969" s="268" t="s">
        <v>636</v>
      </c>
      <c r="D969" s="251" t="s">
        <v>234</v>
      </c>
      <c r="E969" s="251" t="s">
        <v>637</v>
      </c>
      <c r="F969" s="251" t="s">
        <v>638</v>
      </c>
      <c r="G969" s="251" t="s">
        <v>639</v>
      </c>
      <c r="H969" s="251" t="s">
        <v>641</v>
      </c>
      <c r="I969" s="251" t="s">
        <v>640</v>
      </c>
      <c r="J969" s="251" t="s">
        <v>642</v>
      </c>
      <c r="K969" s="251" t="s">
        <v>643</v>
      </c>
      <c r="L969" s="251" t="s">
        <v>644</v>
      </c>
      <c r="M969" s="251" t="s">
        <v>645</v>
      </c>
      <c r="N969" s="251" t="s">
        <v>646</v>
      </c>
      <c r="O969" s="251" t="s">
        <v>647</v>
      </c>
      <c r="P969" s="251" t="s">
        <v>648</v>
      </c>
      <c r="Q969" s="251" t="s">
        <v>304</v>
      </c>
      <c r="R969" s="251" t="s">
        <v>649</v>
      </c>
      <c r="S969" s="251" t="s">
        <v>650</v>
      </c>
      <c r="T969" s="271"/>
      <c r="U969" s="271"/>
      <c r="V969" s="271"/>
      <c r="W969" s="271"/>
      <c r="X969" s="271"/>
      <c r="Y969" s="271"/>
      <c r="Z969" s="237" t="str">
        <f>BIN2HEX(RIGHT((LEFT(Z967,8)),4))</f>
        <v>0</v>
      </c>
    </row>
    <row r="970" spans="2:26">
      <c r="B970" s="255" t="s">
        <v>189</v>
      </c>
      <c r="C970" s="256">
        <v>4</v>
      </c>
      <c r="D970" s="257">
        <v>2</v>
      </c>
      <c r="E970" s="257">
        <v>2</v>
      </c>
      <c r="F970" s="257">
        <v>1</v>
      </c>
      <c r="G970" s="257">
        <v>1</v>
      </c>
      <c r="H970" s="257">
        <v>1</v>
      </c>
      <c r="I970" s="257">
        <v>1</v>
      </c>
      <c r="J970" s="257">
        <v>4</v>
      </c>
      <c r="K970" s="257">
        <v>2</v>
      </c>
      <c r="L970" s="257">
        <v>1</v>
      </c>
      <c r="M970" s="257">
        <v>1</v>
      </c>
      <c r="N970" s="257">
        <v>4</v>
      </c>
      <c r="O970" s="257">
        <v>1</v>
      </c>
      <c r="P970" s="257">
        <v>1</v>
      </c>
      <c r="Q970" s="257">
        <v>1</v>
      </c>
      <c r="R970" s="257">
        <v>1</v>
      </c>
      <c r="S970" s="257">
        <v>4</v>
      </c>
      <c r="T970" s="274"/>
      <c r="U970" s="274"/>
      <c r="V970" s="274"/>
      <c r="W970" s="274"/>
      <c r="X970" s="274"/>
      <c r="Y970" s="274"/>
      <c r="Z970" s="237" t="str">
        <f>BIN2HEX(RIGHT((LEFT(Z967,12)),4))</f>
        <v>0</v>
      </c>
    </row>
    <row r="971" spans="2:26">
      <c r="B971" s="262" t="s">
        <v>16</v>
      </c>
      <c r="C971" s="263">
        <v>8</v>
      </c>
      <c r="D971" s="259">
        <v>0</v>
      </c>
      <c r="E971" s="259">
        <v>0</v>
      </c>
      <c r="F971" s="259">
        <v>0</v>
      </c>
      <c r="G971" s="259">
        <v>0</v>
      </c>
      <c r="H971" s="259">
        <v>0</v>
      </c>
      <c r="I971" s="259">
        <v>0</v>
      </c>
      <c r="J971" s="259">
        <v>0</v>
      </c>
      <c r="K971" s="259">
        <v>2</v>
      </c>
      <c r="L971" s="259">
        <v>1</v>
      </c>
      <c r="M971" s="259">
        <v>1</v>
      </c>
      <c r="N971" s="259">
        <v>1</v>
      </c>
      <c r="O971" s="259">
        <v>1</v>
      </c>
      <c r="P971" s="259">
        <v>1</v>
      </c>
      <c r="Q971" s="259">
        <v>0</v>
      </c>
      <c r="R971" s="259">
        <v>0</v>
      </c>
      <c r="S971" s="259">
        <v>7</v>
      </c>
      <c r="T971" s="261"/>
      <c r="U971" s="261"/>
      <c r="V971" s="261"/>
      <c r="W971" s="261"/>
      <c r="X971" s="261"/>
      <c r="Y971" s="261"/>
      <c r="Z971" s="237" t="str">
        <f>BIN2HEX(RIGHT((LEFT(Z967,16)),4))</f>
        <v>0</v>
      </c>
    </row>
    <row r="972" spans="2:26" ht="13.5" thickBot="1">
      <c r="B972" s="264" t="s">
        <v>17</v>
      </c>
      <c r="C972" s="265" t="str">
        <f>HEX2BIN(C971,C970)</f>
        <v>1000</v>
      </c>
      <c r="D972" s="265" t="str">
        <f>HEX2BIN(D971,D970)</f>
        <v>00</v>
      </c>
      <c r="E972" s="265" t="str">
        <f>HEX2BIN(E971,E970)</f>
        <v>00</v>
      </c>
      <c r="F972" s="265" t="str">
        <f>HEX2BIN(F971,F970)</f>
        <v>0</v>
      </c>
      <c r="G972" s="265" t="str">
        <f>HEX2BIN(G971,G970)</f>
        <v>0</v>
      </c>
      <c r="H972" s="265" t="str">
        <f t="shared" ref="H972:S972" si="47">HEX2BIN(H971,H970)</f>
        <v>0</v>
      </c>
      <c r="I972" s="265" t="str">
        <f t="shared" si="47"/>
        <v>0</v>
      </c>
      <c r="J972" s="265" t="str">
        <f t="shared" si="47"/>
        <v>0000</v>
      </c>
      <c r="K972" s="265" t="str">
        <f t="shared" si="47"/>
        <v>10</v>
      </c>
      <c r="L972" s="265" t="str">
        <f t="shared" si="47"/>
        <v>1</v>
      </c>
      <c r="M972" s="265" t="str">
        <f t="shared" si="47"/>
        <v>1</v>
      </c>
      <c r="N972" s="265" t="str">
        <f t="shared" si="47"/>
        <v>0001</v>
      </c>
      <c r="O972" s="265" t="str">
        <f t="shared" si="47"/>
        <v>1</v>
      </c>
      <c r="P972" s="265" t="str">
        <f t="shared" si="47"/>
        <v>1</v>
      </c>
      <c r="Q972" s="265" t="str">
        <f t="shared" si="47"/>
        <v>0</v>
      </c>
      <c r="R972" s="265" t="str">
        <f t="shared" si="47"/>
        <v>0</v>
      </c>
      <c r="S972" s="265" t="str">
        <f t="shared" si="47"/>
        <v>0111</v>
      </c>
      <c r="T972" s="261"/>
      <c r="U972" s="261"/>
      <c r="V972" s="261"/>
      <c r="W972" s="261"/>
      <c r="X972" s="261"/>
      <c r="Y972" s="261"/>
      <c r="Z972" s="237" t="str">
        <f>BIN2HEX(RIGHT((LEFT(Z967,20)),4))</f>
        <v>B</v>
      </c>
    </row>
    <row r="973" spans="2:26" ht="13.5" thickBot="1">
      <c r="B973" s="266" t="s">
        <v>18</v>
      </c>
      <c r="C973" s="267" t="str">
        <f>CONCATENATE("0x",Z968,Z969,Z970,Z971,Z972,Z973,Z974,Z975)</f>
        <v>0x8000B1C7</v>
      </c>
      <c r="I973" s="278"/>
      <c r="J973" s="278"/>
      <c r="Z973" s="237" t="str">
        <f>BIN2HEX(RIGHT((LEFT(Z967,24)),4))</f>
        <v>1</v>
      </c>
    </row>
    <row r="974" spans="2:26">
      <c r="I974" s="278"/>
      <c r="J974" s="278"/>
      <c r="Z974" s="237" t="str">
        <f>BIN2HEX(RIGHT((LEFT(Z967,28)),4))</f>
        <v>C</v>
      </c>
    </row>
    <row r="975" spans="2:26">
      <c r="I975" s="278"/>
      <c r="J975" s="278"/>
      <c r="Z975" s="237" t="str">
        <f>BIN2HEX(RIGHT((LEFT(Z967,33)),4))</f>
        <v>7</v>
      </c>
    </row>
    <row r="976" spans="2:26">
      <c r="Z976" s="248" t="s">
        <v>1194</v>
      </c>
    </row>
    <row r="977" spans="2:26" ht="13.5" thickBot="1">
      <c r="Z977" s="237" t="str">
        <f>CONCATENATE(C982,D982,E982,F982,G982,H982,I982,J982,K982,L982,M982,N982)</f>
        <v>00000000000000010000001000110110</v>
      </c>
    </row>
    <row r="978" spans="2:26" ht="13.5" thickBot="1">
      <c r="B978" s="245" t="s">
        <v>819</v>
      </c>
      <c r="C978" s="246"/>
      <c r="D978" s="246"/>
      <c r="E978" s="246"/>
      <c r="F978" s="246"/>
      <c r="G978" s="246"/>
      <c r="H978" s="246"/>
      <c r="I978" s="246"/>
      <c r="J978" s="246"/>
      <c r="K978" s="246"/>
      <c r="L978" s="246"/>
      <c r="M978" s="246"/>
      <c r="N978" s="246"/>
      <c r="O978" s="248"/>
      <c r="P978" s="248"/>
      <c r="Q978" s="248"/>
      <c r="R978" s="248"/>
      <c r="S978" s="248"/>
      <c r="T978" s="248"/>
      <c r="U978" s="248"/>
      <c r="V978" s="248"/>
      <c r="W978" s="248"/>
      <c r="X978" s="248"/>
      <c r="Y978" s="248"/>
      <c r="Z978" s="237" t="str">
        <f>BIN2HEX(RIGHT((LEFT(Z977,4)),4))</f>
        <v>0</v>
      </c>
    </row>
    <row r="979" spans="2:26" ht="13.5" thickTop="1">
      <c r="B979" s="249"/>
      <c r="C979" s="268" t="s">
        <v>1187</v>
      </c>
      <c r="D979" s="251" t="s">
        <v>1195</v>
      </c>
      <c r="E979" s="251" t="s">
        <v>236</v>
      </c>
      <c r="F979" s="251" t="s">
        <v>1188</v>
      </c>
      <c r="G979" s="251" t="s">
        <v>1196</v>
      </c>
      <c r="H979" s="251" t="s">
        <v>1189</v>
      </c>
      <c r="I979" s="251" t="s">
        <v>349</v>
      </c>
      <c r="J979" s="251" t="s">
        <v>1190</v>
      </c>
      <c r="K979" s="251" t="s">
        <v>1078</v>
      </c>
      <c r="L979" s="251" t="s">
        <v>1191</v>
      </c>
      <c r="M979" s="251" t="s">
        <v>1192</v>
      </c>
      <c r="N979" s="251" t="s">
        <v>1193</v>
      </c>
      <c r="O979" s="271"/>
      <c r="P979" s="271"/>
      <c r="Q979" s="271"/>
      <c r="R979" s="271"/>
      <c r="S979" s="271"/>
      <c r="T979" s="271"/>
      <c r="U979" s="271"/>
      <c r="V979" s="271"/>
      <c r="W979" s="271"/>
      <c r="X979" s="271"/>
      <c r="Y979" s="271"/>
      <c r="Z979" s="237" t="str">
        <f>BIN2HEX(RIGHT((LEFT(Z977,8)),4))</f>
        <v>0</v>
      </c>
    </row>
    <row r="980" spans="2:26">
      <c r="B980" s="255" t="s">
        <v>189</v>
      </c>
      <c r="C980" s="256">
        <v>12</v>
      </c>
      <c r="D980" s="257">
        <v>4</v>
      </c>
      <c r="E980" s="257">
        <v>2</v>
      </c>
      <c r="F980" s="257">
        <v>2</v>
      </c>
      <c r="G980" s="257">
        <v>1</v>
      </c>
      <c r="H980" s="257">
        <v>3</v>
      </c>
      <c r="I980" s="257">
        <v>1</v>
      </c>
      <c r="J980" s="257">
        <v>3</v>
      </c>
      <c r="K980" s="257">
        <v>1</v>
      </c>
      <c r="L980" s="257">
        <v>1</v>
      </c>
      <c r="M980" s="257">
        <v>1</v>
      </c>
      <c r="N980" s="257">
        <v>1</v>
      </c>
      <c r="O980" s="274"/>
      <c r="P980" s="274"/>
      <c r="Q980" s="274"/>
      <c r="R980" s="274"/>
      <c r="S980" s="274"/>
      <c r="T980" s="274"/>
      <c r="U980" s="274"/>
      <c r="V980" s="274"/>
      <c r="W980" s="274"/>
      <c r="X980" s="274"/>
      <c r="Y980" s="274"/>
      <c r="Z980" s="237" t="str">
        <f>BIN2HEX(RIGHT((LEFT(Z977,12)),4))</f>
        <v>0</v>
      </c>
    </row>
    <row r="981" spans="2:26">
      <c r="B981" s="262" t="s">
        <v>16</v>
      </c>
      <c r="C981" s="263">
        <v>0</v>
      </c>
      <c r="D981" s="259">
        <f>IF(DDR_Rank="Single_Rank",1,3)</f>
        <v>1</v>
      </c>
      <c r="E981" s="259">
        <v>0</v>
      </c>
      <c r="F981" s="259">
        <v>0</v>
      </c>
      <c r="G981" s="259">
        <v>0</v>
      </c>
      <c r="H981" s="259">
        <v>2</v>
      </c>
      <c r="I981" s="259">
        <v>0</v>
      </c>
      <c r="J981" s="259">
        <v>3</v>
      </c>
      <c r="K981" s="259">
        <v>0</v>
      </c>
      <c r="L981" s="259">
        <f>IF(Memory_Type="DDR4",1,0)</f>
        <v>1</v>
      </c>
      <c r="M981" s="259">
        <v>1</v>
      </c>
      <c r="N981" s="259">
        <v>0</v>
      </c>
      <c r="O981" s="261"/>
      <c r="P981" s="261"/>
      <c r="Q981" s="261"/>
      <c r="R981" s="261"/>
      <c r="S981" s="261"/>
      <c r="T981" s="261"/>
      <c r="U981" s="261"/>
      <c r="V981" s="261"/>
      <c r="W981" s="261"/>
      <c r="X981" s="261"/>
      <c r="Y981" s="261"/>
      <c r="Z981" s="237" t="str">
        <f>BIN2HEX(RIGHT((LEFT(Z977,16)),4))</f>
        <v>1</v>
      </c>
    </row>
    <row r="982" spans="2:26" ht="13.5" thickBot="1">
      <c r="B982" s="264" t="s">
        <v>17</v>
      </c>
      <c r="C982" s="277" t="s">
        <v>381</v>
      </c>
      <c r="D982" s="265" t="str">
        <f>HEX2BIN(D981,D980)</f>
        <v>0001</v>
      </c>
      <c r="E982" s="265" t="str">
        <f>HEX2BIN(E981,E980)</f>
        <v>00</v>
      </c>
      <c r="F982" s="265" t="str">
        <f>HEX2BIN(F981,F980)</f>
        <v>00</v>
      </c>
      <c r="G982" s="265" t="str">
        <f>HEX2BIN(G981,G980)</f>
        <v>0</v>
      </c>
      <c r="H982" s="265" t="str">
        <f t="shared" ref="H982:N982" si="48">HEX2BIN(H981,H980)</f>
        <v>010</v>
      </c>
      <c r="I982" s="265" t="str">
        <f t="shared" si="48"/>
        <v>0</v>
      </c>
      <c r="J982" s="265" t="str">
        <f t="shared" si="48"/>
        <v>011</v>
      </c>
      <c r="K982" s="265" t="str">
        <f t="shared" si="48"/>
        <v>0</v>
      </c>
      <c r="L982" s="265" t="str">
        <f t="shared" si="48"/>
        <v>1</v>
      </c>
      <c r="M982" s="265" t="str">
        <f t="shared" si="48"/>
        <v>1</v>
      </c>
      <c r="N982" s="265" t="str">
        <f t="shared" si="48"/>
        <v>0</v>
      </c>
      <c r="O982" s="261"/>
      <c r="P982" s="261"/>
      <c r="Q982" s="261"/>
      <c r="R982" s="261"/>
      <c r="S982" s="261"/>
      <c r="T982" s="261"/>
      <c r="U982" s="261"/>
      <c r="V982" s="261"/>
      <c r="W982" s="261"/>
      <c r="X982" s="261"/>
      <c r="Y982" s="261"/>
      <c r="Z982" s="237" t="str">
        <f>BIN2HEX(RIGHT((LEFT(Z977,20)),4))</f>
        <v>0</v>
      </c>
    </row>
    <row r="983" spans="2:26" ht="13.5" thickBot="1">
      <c r="B983" s="266" t="s">
        <v>18</v>
      </c>
      <c r="C983" s="267" t="str">
        <f>CONCATENATE("0x",Z978,Z979,Z980,Z981,Z982,Z983,Z984,Z985)</f>
        <v>0x00010236</v>
      </c>
      <c r="I983" s="278"/>
      <c r="J983" s="278"/>
      <c r="Z983" s="237" t="str">
        <f>BIN2HEX(RIGHT((LEFT(Z977,24)),4))</f>
        <v>2</v>
      </c>
    </row>
    <row r="984" spans="2:26">
      <c r="I984" s="278"/>
      <c r="J984" s="278"/>
      <c r="Z984" s="237" t="str">
        <f>BIN2HEX(RIGHT((LEFT(Z977,28)),4))</f>
        <v>3</v>
      </c>
    </row>
    <row r="985" spans="2:26">
      <c r="I985" s="278"/>
      <c r="J985" s="278"/>
      <c r="Z985" s="237" t="str">
        <f>BIN2HEX(RIGHT((LEFT(Z977,33)),4))</f>
        <v>6</v>
      </c>
    </row>
    <row r="986" spans="2:26">
      <c r="Z986" s="248"/>
    </row>
    <row r="989" spans="2:26">
      <c r="Z989" s="248" t="s">
        <v>511</v>
      </c>
    </row>
    <row r="990" spans="2:26" ht="13.5" thickBot="1">
      <c r="Z990" s="237" t="str">
        <f>CONCATENATE(C995,D995,E995,F995,G995,H995)</f>
        <v>00000000000000100000000000000010</v>
      </c>
    </row>
    <row r="991" spans="2:26" ht="13.5" thickBot="1">
      <c r="B991" s="245" t="s">
        <v>862</v>
      </c>
      <c r="C991" s="246"/>
      <c r="D991" s="246"/>
      <c r="E991" s="246"/>
      <c r="F991" s="246"/>
      <c r="G991" s="246"/>
      <c r="H991" s="246"/>
      <c r="I991" s="276"/>
      <c r="J991" s="276"/>
      <c r="K991" s="276"/>
      <c r="L991" s="276"/>
      <c r="M991" s="276"/>
      <c r="N991" s="276"/>
      <c r="O991" s="276"/>
      <c r="P991" s="248"/>
      <c r="Q991" s="248"/>
      <c r="R991" s="248"/>
      <c r="S991" s="248"/>
      <c r="T991" s="248"/>
      <c r="U991" s="248"/>
      <c r="V991" s="248"/>
      <c r="W991" s="248"/>
      <c r="X991" s="248"/>
      <c r="Y991" s="248"/>
      <c r="Z991" s="237" t="str">
        <f>BIN2HEX(RIGHT((LEFT(Z990,4)),4))</f>
        <v>0</v>
      </c>
    </row>
    <row r="992" spans="2:26" ht="13.5" thickTop="1">
      <c r="B992" s="249"/>
      <c r="C992" s="280" t="s">
        <v>507</v>
      </c>
      <c r="D992" s="268" t="s">
        <v>508</v>
      </c>
      <c r="E992" s="251" t="s">
        <v>369</v>
      </c>
      <c r="F992" s="251" t="s">
        <v>509</v>
      </c>
      <c r="G992" s="251" t="s">
        <v>402</v>
      </c>
      <c r="H992" s="251" t="s">
        <v>510</v>
      </c>
      <c r="I992" s="271"/>
      <c r="J992" s="271"/>
      <c r="K992" s="271"/>
      <c r="L992" s="271"/>
      <c r="M992" s="271"/>
      <c r="N992" s="271"/>
      <c r="O992" s="271"/>
      <c r="P992" s="272"/>
      <c r="Q992" s="272"/>
      <c r="R992" s="272"/>
      <c r="S992" s="272"/>
      <c r="T992" s="272"/>
      <c r="U992" s="272"/>
      <c r="V992" s="272"/>
      <c r="W992" s="272"/>
      <c r="X992" s="272"/>
      <c r="Y992" s="272"/>
      <c r="Z992" s="237" t="str">
        <f>BIN2HEX(RIGHT((LEFT(Z990,8)),4))</f>
        <v>0</v>
      </c>
    </row>
    <row r="993" spans="2:26">
      <c r="B993" s="255" t="s">
        <v>189</v>
      </c>
      <c r="C993" s="256">
        <v>5</v>
      </c>
      <c r="D993" s="257">
        <v>3</v>
      </c>
      <c r="E993" s="257">
        <v>4</v>
      </c>
      <c r="F993" s="257">
        <v>4</v>
      </c>
      <c r="G993" s="257">
        <v>11</v>
      </c>
      <c r="H993" s="257">
        <v>5</v>
      </c>
      <c r="I993" s="274"/>
      <c r="J993" s="274"/>
      <c r="K993" s="274"/>
      <c r="L993" s="274"/>
      <c r="M993" s="274"/>
      <c r="N993" s="274"/>
      <c r="O993" s="274"/>
      <c r="P993" s="272"/>
      <c r="Q993" s="272"/>
      <c r="R993" s="272"/>
      <c r="S993" s="272"/>
      <c r="T993" s="272"/>
      <c r="U993" s="272"/>
      <c r="V993" s="272"/>
      <c r="W993" s="272"/>
      <c r="X993" s="272"/>
      <c r="Y993" s="272"/>
      <c r="Z993" s="237" t="str">
        <f>BIN2HEX(RIGHT((LEFT(Z990,12)),4))</f>
        <v>0</v>
      </c>
    </row>
    <row r="994" spans="2:26">
      <c r="B994" s="262" t="s">
        <v>16</v>
      </c>
      <c r="C994" s="263">
        <v>0</v>
      </c>
      <c r="D994" s="259">
        <v>0</v>
      </c>
      <c r="E994" s="259">
        <v>0</v>
      </c>
      <c r="F994" s="259">
        <v>2</v>
      </c>
      <c r="G994" s="259" t="str">
        <f>DEC2HEX('Step2-DDR Timing'!H231)</f>
        <v>0</v>
      </c>
      <c r="H994" s="259">
        <v>2</v>
      </c>
      <c r="I994" s="261"/>
      <c r="J994" s="261"/>
      <c r="K994" s="261"/>
      <c r="L994" s="261"/>
      <c r="M994" s="261"/>
      <c r="N994" s="261"/>
      <c r="O994" s="261"/>
      <c r="P994" s="261"/>
      <c r="Q994" s="261"/>
      <c r="R994" s="261"/>
      <c r="S994" s="261"/>
      <c r="T994" s="261"/>
      <c r="U994" s="261"/>
      <c r="V994" s="261"/>
      <c r="W994" s="261"/>
      <c r="X994" s="261"/>
      <c r="Y994" s="261"/>
      <c r="Z994" s="237" t="str">
        <f>BIN2HEX(RIGHT((LEFT(Z990,16)),4))</f>
        <v>2</v>
      </c>
    </row>
    <row r="995" spans="2:26" ht="13.5" thickBot="1">
      <c r="B995" s="264" t="s">
        <v>17</v>
      </c>
      <c r="C995" s="265" t="str">
        <f>HEX2BIN(C994,C993)</f>
        <v>00000</v>
      </c>
      <c r="D995" s="265" t="str">
        <f>HEX2BIN(D994,D993)</f>
        <v>000</v>
      </c>
      <c r="E995" s="265" t="str">
        <f>HEX2BIN(E994,E993)</f>
        <v>0000</v>
      </c>
      <c r="F995" s="265" t="str">
        <f>HEX2BIN(F994,F993)</f>
        <v>0010</v>
      </c>
      <c r="G995" s="277" t="s">
        <v>254</v>
      </c>
      <c r="H995" s="265" t="str">
        <f>HEX2BIN(H994,H993)</f>
        <v>00010</v>
      </c>
      <c r="I995" s="261"/>
      <c r="J995" s="261"/>
      <c r="K995" s="261"/>
      <c r="L995" s="261"/>
      <c r="M995" s="261"/>
      <c r="N995" s="261"/>
      <c r="O995" s="261"/>
      <c r="P995" s="261"/>
      <c r="Q995" s="261"/>
      <c r="R995" s="261"/>
      <c r="S995" s="261"/>
      <c r="T995" s="261"/>
      <c r="U995" s="261"/>
      <c r="V995" s="261"/>
      <c r="W995" s="261"/>
      <c r="X995" s="261"/>
      <c r="Y995" s="261"/>
      <c r="Z995" s="237" t="str">
        <f>BIN2HEX(RIGHT((LEFT(Z990,20)),4))</f>
        <v>0</v>
      </c>
    </row>
    <row r="996" spans="2:26" ht="13.5" thickBot="1">
      <c r="B996" s="266" t="s">
        <v>18</v>
      </c>
      <c r="C996" s="267" t="str">
        <f>CONCATENATE("0x",Z991,Z992,Z993,Z994,Z995,Z996,Z997,Z998)</f>
        <v>0x00020002</v>
      </c>
      <c r="I996" s="278"/>
      <c r="J996" s="278"/>
      <c r="Z996" s="237" t="str">
        <f>BIN2HEX(RIGHT((LEFT(Z990,24)),4))</f>
        <v>0</v>
      </c>
    </row>
    <row r="997" spans="2:26">
      <c r="I997" s="278"/>
      <c r="J997" s="278"/>
      <c r="Z997" s="237" t="str">
        <f>BIN2HEX(RIGHT((LEFT(Z990,28)),4))</f>
        <v>0</v>
      </c>
    </row>
    <row r="998" spans="2:26">
      <c r="I998" s="278"/>
      <c r="J998" s="278"/>
      <c r="Z998" s="237" t="str">
        <f>BIN2HEX(RIGHT((LEFT(Z990,33)),4))</f>
        <v>2</v>
      </c>
    </row>
    <row r="1000" spans="2:26">
      <c r="Z1000" s="242" t="s">
        <v>765</v>
      </c>
    </row>
    <row r="1001" spans="2:26" ht="13.5" thickBot="1">
      <c r="Z1001" s="237" t="str">
        <f>CONCATENATE(C1006,D1006,E1006,F1006,G1006,H1006,I1006,J1006,K1006,L1006,M1006,N1006,O1006,P1006,Q1006,R1006)</f>
        <v>00000000000101000001100000110000</v>
      </c>
    </row>
    <row r="1002" spans="2:26" ht="13.5" thickBot="1">
      <c r="B1002" s="245" t="s">
        <v>863</v>
      </c>
      <c r="C1002" s="246"/>
      <c r="D1002" s="246"/>
      <c r="E1002" s="246"/>
      <c r="F1002" s="246"/>
      <c r="G1002" s="246"/>
      <c r="H1002" s="246"/>
      <c r="I1002" s="246"/>
      <c r="J1002" s="246"/>
      <c r="K1002" s="284"/>
      <c r="L1002" s="276"/>
      <c r="M1002" s="276"/>
      <c r="N1002" s="276"/>
      <c r="O1002" s="276"/>
      <c r="P1002" s="276"/>
      <c r="Q1002" s="276"/>
      <c r="R1002" s="276"/>
      <c r="S1002" s="276"/>
      <c r="T1002" s="276"/>
      <c r="U1002" s="276"/>
      <c r="V1002" s="276"/>
      <c r="W1002" s="276"/>
      <c r="X1002" s="276"/>
      <c r="Y1002" s="276"/>
      <c r="Z1002" s="237" t="str">
        <f>BIN2HEX(RIGHT((LEFT(Z1001,4)),4))</f>
        <v>0</v>
      </c>
    </row>
    <row r="1003" spans="2:26" ht="13.5" thickTop="1">
      <c r="B1003" s="249"/>
      <c r="C1003" s="268" t="s">
        <v>413</v>
      </c>
      <c r="D1003" s="251" t="s">
        <v>755</v>
      </c>
      <c r="E1003" s="251" t="s">
        <v>756</v>
      </c>
      <c r="F1003" s="251" t="s">
        <v>757</v>
      </c>
      <c r="G1003" s="251" t="s">
        <v>758</v>
      </c>
      <c r="H1003" s="251" t="s">
        <v>759</v>
      </c>
      <c r="I1003" s="251" t="s">
        <v>760</v>
      </c>
      <c r="J1003" s="251" t="s">
        <v>538</v>
      </c>
      <c r="K1003" s="271" t="s">
        <v>761</v>
      </c>
      <c r="L1003" s="271" t="s">
        <v>763</v>
      </c>
      <c r="M1003" s="271" t="s">
        <v>770</v>
      </c>
      <c r="N1003" s="271" t="s">
        <v>769</v>
      </c>
      <c r="O1003" s="271" t="s">
        <v>764</v>
      </c>
      <c r="P1003" s="271" t="s">
        <v>768</v>
      </c>
      <c r="Q1003" s="271" t="s">
        <v>767</v>
      </c>
      <c r="R1003" s="271" t="s">
        <v>766</v>
      </c>
      <c r="S1003" s="271"/>
      <c r="T1003" s="271"/>
      <c r="U1003" s="271"/>
      <c r="V1003" s="271"/>
      <c r="W1003" s="271"/>
      <c r="X1003" s="271"/>
      <c r="Y1003" s="271"/>
      <c r="Z1003" s="237" t="str">
        <f>BIN2HEX(RIGHT((LEFT(Z1001,8)),4))</f>
        <v>0</v>
      </c>
    </row>
    <row r="1004" spans="2:26">
      <c r="B1004" s="255" t="s">
        <v>189</v>
      </c>
      <c r="C1004" s="256">
        <v>8</v>
      </c>
      <c r="D1004" s="257">
        <v>1</v>
      </c>
      <c r="E1004" s="257">
        <v>3</v>
      </c>
      <c r="F1004" s="257">
        <v>2</v>
      </c>
      <c r="G1004" s="257">
        <v>1</v>
      </c>
      <c r="H1004" s="257">
        <v>1</v>
      </c>
      <c r="I1004" s="257">
        <v>1</v>
      </c>
      <c r="J1004" s="257">
        <v>2</v>
      </c>
      <c r="K1004" s="257">
        <v>4</v>
      </c>
      <c r="L1004" s="257">
        <v>1</v>
      </c>
      <c r="M1004" s="257">
        <v>1</v>
      </c>
      <c r="N1004" s="257">
        <v>1</v>
      </c>
      <c r="O1004" s="257">
        <v>2</v>
      </c>
      <c r="P1004" s="257">
        <v>1</v>
      </c>
      <c r="Q1004" s="257">
        <v>2</v>
      </c>
      <c r="R1004" s="257">
        <v>1</v>
      </c>
      <c r="S1004" s="274"/>
      <c r="T1004" s="274"/>
      <c r="U1004" s="274"/>
      <c r="V1004" s="274"/>
      <c r="W1004" s="274"/>
      <c r="X1004" s="274"/>
      <c r="Y1004" s="274"/>
      <c r="Z1004" s="237" t="str">
        <f>BIN2HEX(RIGHT((LEFT(Z1001,12)),4))</f>
        <v>1</v>
      </c>
    </row>
    <row r="1005" spans="2:26">
      <c r="B1005" s="262" t="s">
        <v>16</v>
      </c>
      <c r="C1005" s="263">
        <v>0</v>
      </c>
      <c r="D1005" s="259">
        <v>0</v>
      </c>
      <c r="E1005" s="259">
        <f>IF(Memory_Type="LPDDR4",IF(H874=0,1,3),1)</f>
        <v>1</v>
      </c>
      <c r="F1005" s="259" t="str">
        <f>IF(Memory_Type="LPDDR4",IF(HEX2DEC(G821)=1,3,"Error"),DEC2HEX(IF(HEX2DEC(E784)=0,1,3)))</f>
        <v>1</v>
      </c>
      <c r="G1005" s="259">
        <v>0</v>
      </c>
      <c r="H1005" s="259">
        <v>0</v>
      </c>
      <c r="I1005" s="259">
        <v>0</v>
      </c>
      <c r="J1005" s="259">
        <v>0</v>
      </c>
      <c r="K1005" s="259" t="s">
        <v>762</v>
      </c>
      <c r="L1005" s="259">
        <v>0</v>
      </c>
      <c r="M1005" s="259">
        <v>0</v>
      </c>
      <c r="N1005" s="259">
        <v>0</v>
      </c>
      <c r="O1005" s="259">
        <f>IF(Memory_Type="LPDDR4",0,3)</f>
        <v>3</v>
      </c>
      <c r="P1005" s="259">
        <v>0</v>
      </c>
      <c r="Q1005" s="259">
        <v>0</v>
      </c>
      <c r="R1005" s="259">
        <v>0</v>
      </c>
      <c r="S1005" s="261"/>
      <c r="T1005" s="261"/>
      <c r="U1005" s="261"/>
      <c r="V1005" s="261"/>
      <c r="W1005" s="261"/>
      <c r="X1005" s="261"/>
      <c r="Y1005" s="261"/>
      <c r="Z1005" s="237" t="str">
        <f>BIN2HEX(RIGHT((LEFT(Z1001,16)),4))</f>
        <v>4</v>
      </c>
    </row>
    <row r="1006" spans="2:26" ht="13.5" thickBot="1">
      <c r="B1006" s="264" t="s">
        <v>17</v>
      </c>
      <c r="C1006" s="265" t="str">
        <f t="shared" ref="C1006:H1006" si="49">HEX2BIN(C1005,C1004)</f>
        <v>00000000</v>
      </c>
      <c r="D1006" s="265" t="str">
        <f t="shared" si="49"/>
        <v>0</v>
      </c>
      <c r="E1006" s="265" t="str">
        <f t="shared" si="49"/>
        <v>001</v>
      </c>
      <c r="F1006" s="265" t="str">
        <f t="shared" si="49"/>
        <v>01</v>
      </c>
      <c r="G1006" s="265" t="str">
        <f t="shared" si="49"/>
        <v>0</v>
      </c>
      <c r="H1006" s="265" t="str">
        <f t="shared" si="49"/>
        <v>0</v>
      </c>
      <c r="I1006" s="265" t="str">
        <f t="shared" ref="I1006:R1006" si="50">HEX2BIN(I1005,I1004)</f>
        <v>0</v>
      </c>
      <c r="J1006" s="265" t="str">
        <f t="shared" si="50"/>
        <v>00</v>
      </c>
      <c r="K1006" s="265" t="str">
        <f t="shared" si="50"/>
        <v>1100</v>
      </c>
      <c r="L1006" s="265" t="str">
        <f t="shared" si="50"/>
        <v>0</v>
      </c>
      <c r="M1006" s="265" t="str">
        <f t="shared" si="50"/>
        <v>0</v>
      </c>
      <c r="N1006" s="265" t="str">
        <f t="shared" si="50"/>
        <v>0</v>
      </c>
      <c r="O1006" s="265" t="str">
        <f t="shared" si="50"/>
        <v>11</v>
      </c>
      <c r="P1006" s="265" t="str">
        <f t="shared" si="50"/>
        <v>0</v>
      </c>
      <c r="Q1006" s="265" t="str">
        <f t="shared" si="50"/>
        <v>00</v>
      </c>
      <c r="R1006" s="265" t="str">
        <f t="shared" si="50"/>
        <v>0</v>
      </c>
      <c r="S1006" s="261"/>
      <c r="T1006" s="261"/>
      <c r="U1006" s="261"/>
      <c r="V1006" s="261"/>
      <c r="W1006" s="261"/>
      <c r="X1006" s="261"/>
      <c r="Y1006" s="261"/>
      <c r="Z1006" s="237" t="str">
        <f>BIN2HEX(RIGHT((LEFT(Z1001,20)),4))</f>
        <v>1</v>
      </c>
    </row>
    <row r="1007" spans="2:26" ht="13.5" thickBot="1">
      <c r="B1007" s="266" t="s">
        <v>18</v>
      </c>
      <c r="C1007" s="267" t="str">
        <f>CONCATENATE("0x",Z1002,Z1003,Z1004,Z1005,Z1006,Z1007,Z1008,Z1009)</f>
        <v>0x00141830</v>
      </c>
      <c r="Z1007" s="237" t="str">
        <f>BIN2HEX(RIGHT((LEFT(Z1001,24)),4))</f>
        <v>8</v>
      </c>
    </row>
    <row r="1008" spans="2:26">
      <c r="Z1008" s="237" t="str">
        <f>BIN2HEX(RIGHT((LEFT(Z1001,28)),4))</f>
        <v>3</v>
      </c>
    </row>
    <row r="1009" spans="2:26">
      <c r="K1009" s="237"/>
      <c r="Z1009" s="237" t="str">
        <f>BIN2HEX(RIGHT((LEFT(Z1001,33)),4))</f>
        <v>0</v>
      </c>
    </row>
    <row r="1012" spans="2:26">
      <c r="Z1012" s="248" t="s">
        <v>1045</v>
      </c>
    </row>
    <row r="1013" spans="2:26" ht="13.5" thickBot="1">
      <c r="Z1013" s="237" t="str">
        <f>CONCATENATE(C1018,D1018,E1018,F1018,G1018,H1018,I1018,J1018,K1018,L1018,M1018,N1018)</f>
        <v>00001110000000001011000000111100</v>
      </c>
    </row>
    <row r="1014" spans="2:26" ht="13.5" thickBot="1">
      <c r="B1014" s="245" t="s">
        <v>1045</v>
      </c>
      <c r="C1014" s="246"/>
      <c r="D1014" s="246"/>
      <c r="E1014" s="246"/>
      <c r="F1014" s="246"/>
      <c r="G1014" s="246"/>
      <c r="H1014" s="246"/>
      <c r="I1014" s="246"/>
      <c r="J1014" s="246"/>
      <c r="K1014" s="285"/>
      <c r="L1014" s="276"/>
      <c r="M1014" s="276"/>
      <c r="N1014" s="276"/>
      <c r="O1014" s="276"/>
      <c r="P1014" s="276"/>
      <c r="Q1014" s="276"/>
      <c r="R1014" s="276"/>
      <c r="S1014" s="276"/>
      <c r="T1014" s="276"/>
      <c r="U1014" s="276"/>
      <c r="V1014" s="276"/>
      <c r="W1014" s="276"/>
      <c r="X1014" s="276"/>
      <c r="Y1014" s="276"/>
      <c r="Z1014" s="237" t="str">
        <f>BIN2HEX(RIGHT((LEFT(Z1013,4)),4))</f>
        <v>0</v>
      </c>
    </row>
    <row r="1015" spans="2:26" ht="13.5" thickTop="1">
      <c r="B1015" s="249"/>
      <c r="C1015" s="268" t="s">
        <v>180</v>
      </c>
      <c r="D1015" s="251" t="s">
        <v>1046</v>
      </c>
      <c r="E1015" s="251" t="s">
        <v>1047</v>
      </c>
      <c r="F1015" s="251" t="s">
        <v>1048</v>
      </c>
      <c r="G1015" s="251" t="s">
        <v>1049</v>
      </c>
      <c r="H1015" s="251" t="s">
        <v>1050</v>
      </c>
      <c r="I1015" s="251" t="s">
        <v>1051</v>
      </c>
      <c r="J1015" s="251" t="s">
        <v>1052</v>
      </c>
      <c r="K1015" s="271" t="s">
        <v>1053</v>
      </c>
      <c r="L1015" s="271" t="s">
        <v>187</v>
      </c>
      <c r="M1015" s="271" t="s">
        <v>1054</v>
      </c>
      <c r="N1015" s="271" t="s">
        <v>1055</v>
      </c>
      <c r="O1015" s="271"/>
      <c r="P1015" s="271"/>
      <c r="Q1015" s="271"/>
      <c r="R1015" s="271"/>
      <c r="S1015" s="271"/>
      <c r="T1015" s="271"/>
      <c r="U1015" s="271"/>
      <c r="V1015" s="271"/>
      <c r="W1015" s="271"/>
      <c r="X1015" s="271"/>
      <c r="Y1015" s="271"/>
      <c r="Z1015" s="237" t="str">
        <f>BIN2HEX(RIGHT((LEFT(Z1013,8)),4))</f>
        <v>E</v>
      </c>
    </row>
    <row r="1016" spans="2:26">
      <c r="B1016" s="255" t="s">
        <v>189</v>
      </c>
      <c r="C1016" s="256">
        <v>3</v>
      </c>
      <c r="D1016" s="257">
        <v>1</v>
      </c>
      <c r="E1016" s="257">
        <v>2</v>
      </c>
      <c r="F1016" s="257">
        <v>1</v>
      </c>
      <c r="G1016" s="257">
        <v>1</v>
      </c>
      <c r="H1016" s="257">
        <v>1</v>
      </c>
      <c r="I1016" s="257">
        <v>7</v>
      </c>
      <c r="J1016" s="257">
        <v>1</v>
      </c>
      <c r="K1016" s="257">
        <v>7</v>
      </c>
      <c r="L1016" s="257">
        <v>2</v>
      </c>
      <c r="M1016" s="257">
        <v>4</v>
      </c>
      <c r="N1016" s="257">
        <v>2</v>
      </c>
      <c r="O1016" s="274"/>
      <c r="P1016" s="274"/>
      <c r="Q1016" s="274"/>
      <c r="R1016" s="274"/>
      <c r="S1016" s="274"/>
      <c r="T1016" s="274"/>
      <c r="U1016" s="274"/>
      <c r="V1016" s="274"/>
      <c r="W1016" s="274"/>
      <c r="X1016" s="274"/>
      <c r="Y1016" s="274"/>
      <c r="Z1016" s="237" t="str">
        <f>BIN2HEX(RIGHT((LEFT(Z1013,12)),4))</f>
        <v>0</v>
      </c>
    </row>
    <row r="1017" spans="2:26">
      <c r="B1017" s="262" t="s">
        <v>16</v>
      </c>
      <c r="C1017" s="263">
        <v>0</v>
      </c>
      <c r="D1017" s="259">
        <v>0</v>
      </c>
      <c r="E1017" s="259">
        <v>3</v>
      </c>
      <c r="F1017" s="259">
        <v>1</v>
      </c>
      <c r="G1017" s="259">
        <v>0</v>
      </c>
      <c r="H1017" s="259">
        <v>0</v>
      </c>
      <c r="I1017" s="259">
        <v>0</v>
      </c>
      <c r="J1017" s="259">
        <f>IF(Memory_Type="LPDDR4",0,1)</f>
        <v>1</v>
      </c>
      <c r="K1017" s="259" t="str">
        <f>IF(Memory_Type="LPDDR4","12","30")</f>
        <v>30</v>
      </c>
      <c r="L1017" s="259">
        <v>0</v>
      </c>
      <c r="M1017" s="259" t="s">
        <v>714</v>
      </c>
      <c r="N1017" s="259">
        <v>0</v>
      </c>
      <c r="O1017" s="261"/>
      <c r="P1017" s="261"/>
      <c r="Q1017" s="261"/>
      <c r="R1017" s="261"/>
      <c r="S1017" s="261"/>
      <c r="T1017" s="261"/>
      <c r="U1017" s="261"/>
      <c r="V1017" s="261"/>
      <c r="W1017" s="261"/>
      <c r="X1017" s="261"/>
      <c r="Y1017" s="261"/>
      <c r="Z1017" s="237" t="str">
        <f>BIN2HEX(RIGHT((LEFT(Z1013,16)),4))</f>
        <v>0</v>
      </c>
    </row>
    <row r="1018" spans="2:26" ht="13.5" thickBot="1">
      <c r="B1018" s="264" t="s">
        <v>17</v>
      </c>
      <c r="C1018" s="265" t="str">
        <f t="shared" ref="C1018:N1018" si="51">HEX2BIN(C1017,C1016)</f>
        <v>000</v>
      </c>
      <c r="D1018" s="265" t="str">
        <f t="shared" si="51"/>
        <v>0</v>
      </c>
      <c r="E1018" s="265" t="str">
        <f t="shared" si="51"/>
        <v>11</v>
      </c>
      <c r="F1018" s="265" t="str">
        <f t="shared" si="51"/>
        <v>1</v>
      </c>
      <c r="G1018" s="265" t="str">
        <f t="shared" si="51"/>
        <v>0</v>
      </c>
      <c r="H1018" s="265" t="str">
        <f t="shared" si="51"/>
        <v>0</v>
      </c>
      <c r="I1018" s="265" t="str">
        <f t="shared" si="51"/>
        <v>0000000</v>
      </c>
      <c r="J1018" s="265" t="str">
        <f t="shared" si="51"/>
        <v>1</v>
      </c>
      <c r="K1018" s="265" t="str">
        <f t="shared" si="51"/>
        <v>0110000</v>
      </c>
      <c r="L1018" s="265" t="str">
        <f t="shared" si="51"/>
        <v>00</v>
      </c>
      <c r="M1018" s="265" t="str">
        <f t="shared" si="51"/>
        <v>1111</v>
      </c>
      <c r="N1018" s="265" t="str">
        <f t="shared" si="51"/>
        <v>00</v>
      </c>
      <c r="O1018" s="261"/>
      <c r="P1018" s="261"/>
      <c r="Q1018" s="261"/>
      <c r="R1018" s="261"/>
      <c r="S1018" s="261"/>
      <c r="T1018" s="261"/>
      <c r="U1018" s="261"/>
      <c r="V1018" s="261"/>
      <c r="W1018" s="261"/>
      <c r="X1018" s="261"/>
      <c r="Y1018" s="261"/>
      <c r="Z1018" s="237" t="str">
        <f>BIN2HEX(RIGHT((LEFT(Z1013,20)),4))</f>
        <v>B</v>
      </c>
    </row>
    <row r="1019" spans="2:26" ht="13.5" thickBot="1">
      <c r="B1019" s="266" t="s">
        <v>18</v>
      </c>
      <c r="C1019" s="267" t="str">
        <f>CONCATENATE("0x",Z1014,Z1015,Z1016,Z1017,Z1018,Z1019,Z1020,Z1021)</f>
        <v>0x0E00B03C</v>
      </c>
      <c r="Z1019" s="237" t="str">
        <f>BIN2HEX(RIGHT((LEFT(Z1013,24)),4))</f>
        <v>0</v>
      </c>
    </row>
    <row r="1020" spans="2:26">
      <c r="Z1020" s="237" t="str">
        <f>BIN2HEX(RIGHT((LEFT(Z1013,28)),4))</f>
        <v>3</v>
      </c>
    </row>
    <row r="1021" spans="2:26">
      <c r="K1021" s="237"/>
      <c r="Z1021" s="237" t="str">
        <f>BIN2HEX(RIGHT((LEFT(Z1013,33)),4))</f>
        <v>C</v>
      </c>
    </row>
    <row r="1023" spans="2:26">
      <c r="Z1023" s="248" t="s">
        <v>831</v>
      </c>
    </row>
    <row r="1024" spans="2:26" ht="13.5" thickBot="1">
      <c r="Z1024" s="237" t="str">
        <f>CONCATENATE(C1029,D1029,E1029,F1029,G1029,H1029,I1029,J1029)</f>
        <v>00000000000000000000000001001001</v>
      </c>
    </row>
    <row r="1025" spans="2:26" ht="13.5" thickBot="1">
      <c r="B1025" s="245" t="s">
        <v>1069</v>
      </c>
      <c r="C1025" s="246"/>
      <c r="D1025" s="246"/>
      <c r="E1025" s="246"/>
      <c r="F1025" s="246"/>
      <c r="G1025" s="246"/>
      <c r="H1025" s="246"/>
      <c r="I1025" s="246"/>
      <c r="J1025" s="246"/>
      <c r="K1025" s="276"/>
      <c r="L1025" s="276"/>
      <c r="M1025" s="276"/>
      <c r="N1025" s="276"/>
      <c r="O1025" s="276"/>
      <c r="P1025" s="276"/>
      <c r="Q1025" s="276"/>
      <c r="R1025" s="276"/>
      <c r="S1025" s="276"/>
      <c r="T1025" s="276"/>
      <c r="U1025" s="276"/>
      <c r="V1025" s="276"/>
      <c r="W1025" s="276"/>
      <c r="X1025" s="276"/>
      <c r="Y1025" s="276"/>
      <c r="Z1025" s="237" t="str">
        <f>BIN2HEX(RIGHT((LEFT(Z1024,4)),4))</f>
        <v>0</v>
      </c>
    </row>
    <row r="1026" spans="2:26" ht="13.5" thickTop="1">
      <c r="B1026" s="249"/>
      <c r="C1026" s="268" t="s">
        <v>87</v>
      </c>
      <c r="D1026" s="251" t="s">
        <v>1070</v>
      </c>
      <c r="E1026" s="268" t="s">
        <v>192</v>
      </c>
      <c r="F1026" s="251" t="s">
        <v>1073</v>
      </c>
      <c r="G1026" s="268" t="s">
        <v>194</v>
      </c>
      <c r="H1026" s="251" t="s">
        <v>1072</v>
      </c>
      <c r="I1026" s="268" t="s">
        <v>349</v>
      </c>
      <c r="J1026" s="251" t="s">
        <v>1071</v>
      </c>
      <c r="K1026" s="271"/>
      <c r="L1026" s="271"/>
      <c r="M1026" s="271"/>
      <c r="N1026" s="271"/>
      <c r="O1026" s="271"/>
      <c r="P1026" s="271"/>
      <c r="Q1026" s="271"/>
      <c r="R1026" s="271"/>
      <c r="S1026" s="271"/>
      <c r="T1026" s="271"/>
      <c r="U1026" s="271"/>
      <c r="V1026" s="271"/>
      <c r="W1026" s="271"/>
      <c r="X1026" s="271"/>
      <c r="Y1026" s="271"/>
      <c r="Z1026" s="237" t="str">
        <f>BIN2HEX(RIGHT((LEFT(Z1024,8)),4))</f>
        <v>0</v>
      </c>
    </row>
    <row r="1027" spans="2:26">
      <c r="B1027" s="255" t="s">
        <v>189</v>
      </c>
      <c r="C1027" s="256">
        <v>1</v>
      </c>
      <c r="D1027" s="257">
        <v>7</v>
      </c>
      <c r="E1027" s="257">
        <v>1</v>
      </c>
      <c r="F1027" s="257">
        <v>7</v>
      </c>
      <c r="G1027" s="257">
        <v>1</v>
      </c>
      <c r="H1027" s="257">
        <v>7</v>
      </c>
      <c r="I1027" s="257">
        <v>1</v>
      </c>
      <c r="J1027" s="257">
        <v>7</v>
      </c>
      <c r="K1027" s="274"/>
      <c r="L1027" s="274"/>
      <c r="M1027" s="274"/>
      <c r="N1027" s="274"/>
      <c r="O1027" s="274"/>
      <c r="P1027" s="274"/>
      <c r="Q1027" s="274"/>
      <c r="R1027" s="274"/>
      <c r="S1027" s="274"/>
      <c r="T1027" s="274"/>
      <c r="U1027" s="274"/>
      <c r="V1027" s="274"/>
      <c r="W1027" s="274"/>
      <c r="X1027" s="274"/>
      <c r="Y1027" s="274"/>
      <c r="Z1027" s="237" t="str">
        <f>BIN2HEX(RIGHT((LEFT(Z1024,12)),4))</f>
        <v>0</v>
      </c>
    </row>
    <row r="1028" spans="2:26">
      <c r="B1028" s="262" t="s">
        <v>16</v>
      </c>
      <c r="C1028" s="263">
        <v>0</v>
      </c>
      <c r="D1028" s="259">
        <v>0</v>
      </c>
      <c r="E1028" s="259">
        <v>0</v>
      </c>
      <c r="F1028" s="259">
        <v>0</v>
      </c>
      <c r="G1028" s="259">
        <v>0</v>
      </c>
      <c r="H1028" s="259">
        <f>IF(DDR_Rank="Dual_Rank",IF(Memory_Type="LPDDR4",GCRx_DXREFSSEL_LPDDR4,0),0)</f>
        <v>0</v>
      </c>
      <c r="I1028" s="259">
        <v>0</v>
      </c>
      <c r="J1028" s="259" t="str">
        <f>IF(Memory_Type="DDR3L","30",IF(Memory_Type="DDR4",GCRx_DXREFSSEL_DDR4,GCRx_DXREFSSEL_LPDDR4))</f>
        <v>49</v>
      </c>
      <c r="K1028" s="261"/>
      <c r="L1028" s="261"/>
      <c r="M1028" s="261"/>
      <c r="N1028" s="261"/>
      <c r="O1028" s="261"/>
      <c r="P1028" s="261"/>
      <c r="Q1028" s="261"/>
      <c r="R1028" s="261"/>
      <c r="S1028" s="261"/>
      <c r="T1028" s="261"/>
      <c r="U1028" s="261"/>
      <c r="V1028" s="261"/>
      <c r="W1028" s="261"/>
      <c r="X1028" s="261"/>
      <c r="Y1028" s="261"/>
      <c r="Z1028" s="237" t="str">
        <f>BIN2HEX(RIGHT((LEFT(Z1024,16)),4))</f>
        <v>0</v>
      </c>
    </row>
    <row r="1029" spans="2:26" ht="13.5" thickBot="1">
      <c r="B1029" s="264" t="s">
        <v>17</v>
      </c>
      <c r="C1029" s="265" t="str">
        <f t="shared" ref="C1029:J1029" si="52">HEX2BIN(C1028,C1027)</f>
        <v>0</v>
      </c>
      <c r="D1029" s="265" t="str">
        <f t="shared" si="52"/>
        <v>0000000</v>
      </c>
      <c r="E1029" s="265" t="str">
        <f t="shared" si="52"/>
        <v>0</v>
      </c>
      <c r="F1029" s="265" t="str">
        <f t="shared" si="52"/>
        <v>0000000</v>
      </c>
      <c r="G1029" s="265" t="str">
        <f t="shared" si="52"/>
        <v>0</v>
      </c>
      <c r="H1029" s="265" t="str">
        <f t="shared" si="52"/>
        <v>0000000</v>
      </c>
      <c r="I1029" s="265" t="str">
        <f t="shared" si="52"/>
        <v>0</v>
      </c>
      <c r="J1029" s="265" t="str">
        <f t="shared" si="52"/>
        <v>1001001</v>
      </c>
      <c r="K1029" s="261"/>
      <c r="L1029" s="261"/>
      <c r="M1029" s="261"/>
      <c r="N1029" s="261"/>
      <c r="O1029" s="261"/>
      <c r="P1029" s="261"/>
      <c r="Q1029" s="261"/>
      <c r="R1029" s="261"/>
      <c r="S1029" s="261"/>
      <c r="T1029" s="261"/>
      <c r="U1029" s="261"/>
      <c r="V1029" s="261"/>
      <c r="W1029" s="261"/>
      <c r="X1029" s="261"/>
      <c r="Y1029" s="261"/>
      <c r="Z1029" s="237" t="str">
        <f>BIN2HEX(RIGHT((LEFT(Z1024,20)),4))</f>
        <v>0</v>
      </c>
    </row>
    <row r="1030" spans="2:26" ht="13.5" thickBot="1">
      <c r="B1030" s="266" t="s">
        <v>18</v>
      </c>
      <c r="C1030" s="267" t="str">
        <f>CONCATENATE("0x",Z1025,Z1026,Z1027,Z1028,Z1029,Z1030,Z1031,Z1032)</f>
        <v>0x00000049</v>
      </c>
      <c r="Z1030" s="237" t="str">
        <f>BIN2HEX(RIGHT((LEFT(Z1024,24)),4))</f>
        <v>0</v>
      </c>
    </row>
    <row r="1031" spans="2:26">
      <c r="Z1031" s="237" t="str">
        <f>BIN2HEX(RIGHT((LEFT(Z1024,28)),4))</f>
        <v>4</v>
      </c>
    </row>
    <row r="1032" spans="2:26">
      <c r="K1032" s="237"/>
      <c r="Z1032" s="237" t="str">
        <f>BIN2HEX(RIGHT((LEFT(Z1024,33)),4))</f>
        <v>9</v>
      </c>
    </row>
    <row r="1034" spans="2:26">
      <c r="Z1034" s="248" t="s">
        <v>802</v>
      </c>
    </row>
    <row r="1035" spans="2:26" ht="13.5" thickBot="1">
      <c r="Z1035" s="237" t="str">
        <f>CONCATENATE(C1040,D1040,E1040,F1040,G1040,H1040,I1040,J1040)</f>
        <v>00000001000000010000000000000100</v>
      </c>
    </row>
    <row r="1036" spans="2:26" ht="13.5" thickBot="1">
      <c r="B1036" s="245" t="s">
        <v>802</v>
      </c>
      <c r="C1036" s="246"/>
      <c r="D1036" s="246"/>
      <c r="E1036" s="246"/>
      <c r="F1036" s="246"/>
      <c r="G1036" s="246"/>
      <c r="H1036" s="246"/>
      <c r="I1036" s="246"/>
      <c r="J1036" s="246"/>
      <c r="K1036" s="276"/>
      <c r="L1036" s="276"/>
      <c r="M1036" s="276"/>
      <c r="N1036" s="276"/>
      <c r="O1036" s="276"/>
      <c r="P1036" s="276"/>
      <c r="Q1036" s="276"/>
      <c r="R1036" s="276"/>
      <c r="S1036" s="276"/>
      <c r="T1036" s="276"/>
      <c r="U1036" s="276"/>
      <c r="V1036" s="276"/>
      <c r="W1036" s="276"/>
      <c r="X1036" s="276"/>
      <c r="Y1036" s="276"/>
      <c r="Z1036" s="237" t="str">
        <f>BIN2HEX(RIGHT((LEFT(Z1035,4)),4))</f>
        <v>0</v>
      </c>
    </row>
    <row r="1037" spans="2:26" ht="13.5" thickTop="1">
      <c r="B1037" s="249"/>
      <c r="C1037" s="268" t="s">
        <v>1074</v>
      </c>
      <c r="D1037" s="251" t="s">
        <v>1075</v>
      </c>
      <c r="E1037" s="268" t="s">
        <v>1076</v>
      </c>
      <c r="F1037" s="251" t="s">
        <v>1077</v>
      </c>
      <c r="G1037" s="268" t="s">
        <v>1078</v>
      </c>
      <c r="H1037" s="251" t="s">
        <v>1079</v>
      </c>
      <c r="I1037" s="268" t="s">
        <v>1080</v>
      </c>
      <c r="J1037" s="251" t="s">
        <v>1081</v>
      </c>
      <c r="K1037" s="271"/>
      <c r="L1037" s="271"/>
      <c r="M1037" s="271"/>
      <c r="N1037" s="271"/>
      <c r="O1037" s="271"/>
      <c r="P1037" s="271"/>
      <c r="Q1037" s="271"/>
      <c r="R1037" s="271"/>
      <c r="S1037" s="271"/>
      <c r="T1037" s="271"/>
      <c r="U1037" s="271"/>
      <c r="V1037" s="271"/>
      <c r="W1037" s="271"/>
      <c r="X1037" s="271"/>
      <c r="Y1037" s="271"/>
      <c r="Z1037" s="237" t="str">
        <f>BIN2HEX(RIGHT((LEFT(Z1035,8)),4))</f>
        <v>1</v>
      </c>
    </row>
    <row r="1038" spans="2:26">
      <c r="B1038" s="255" t="s">
        <v>189</v>
      </c>
      <c r="C1038" s="256">
        <v>8</v>
      </c>
      <c r="D1038" s="257">
        <v>8</v>
      </c>
      <c r="E1038" s="257">
        <v>8</v>
      </c>
      <c r="F1038" s="257">
        <v>4</v>
      </c>
      <c r="G1038" s="257">
        <v>1</v>
      </c>
      <c r="H1038" s="257">
        <v>1</v>
      </c>
      <c r="I1038" s="257">
        <v>1</v>
      </c>
      <c r="J1038" s="257">
        <v>1</v>
      </c>
      <c r="K1038" s="274"/>
      <c r="L1038" s="274"/>
      <c r="M1038" s="274"/>
      <c r="N1038" s="274"/>
      <c r="O1038" s="274"/>
      <c r="P1038" s="274"/>
      <c r="Q1038" s="274"/>
      <c r="R1038" s="274"/>
      <c r="S1038" s="274"/>
      <c r="T1038" s="274"/>
      <c r="U1038" s="274"/>
      <c r="V1038" s="274"/>
      <c r="W1038" s="274"/>
      <c r="X1038" s="274"/>
      <c r="Y1038" s="274"/>
      <c r="Z1038" s="237" t="str">
        <f>BIN2HEX(RIGHT((LEFT(Z1035,12)),4))</f>
        <v>0</v>
      </c>
    </row>
    <row r="1039" spans="2:26">
      <c r="B1039" s="262" t="s">
        <v>16</v>
      </c>
      <c r="C1039" s="263">
        <v>1</v>
      </c>
      <c r="D1039" s="259">
        <v>1</v>
      </c>
      <c r="E1039" s="259">
        <v>0</v>
      </c>
      <c r="F1039" s="259">
        <v>0</v>
      </c>
      <c r="G1039" s="259">
        <v>0</v>
      </c>
      <c r="H1039" s="259" t="str">
        <f>IF(Memory_Type="DDR3L",1,IF(Memory_Type="DDR4",GCRx_DXREFSSELRANGE_DDR4,GCRx_DXREFSSELRANGE_LPDDR4))</f>
        <v>1</v>
      </c>
      <c r="I1039" s="259">
        <v>0</v>
      </c>
      <c r="J1039" s="259">
        <v>0</v>
      </c>
      <c r="K1039" s="261"/>
      <c r="L1039" s="261"/>
      <c r="M1039" s="261"/>
      <c r="N1039" s="261"/>
      <c r="O1039" s="261"/>
      <c r="P1039" s="261"/>
      <c r="Q1039" s="261"/>
      <c r="R1039" s="261"/>
      <c r="S1039" s="261"/>
      <c r="T1039" s="261"/>
      <c r="U1039" s="261"/>
      <c r="V1039" s="261"/>
      <c r="W1039" s="261"/>
      <c r="X1039" s="261"/>
      <c r="Y1039" s="261"/>
      <c r="Z1039" s="237" t="str">
        <f>BIN2HEX(RIGHT((LEFT(Z1035,16)),4))</f>
        <v>1</v>
      </c>
    </row>
    <row r="1040" spans="2:26" ht="13.5" thickBot="1">
      <c r="B1040" s="264" t="s">
        <v>17</v>
      </c>
      <c r="C1040" s="265" t="str">
        <f t="shared" ref="C1040:J1040" si="53">HEX2BIN(C1039,C1038)</f>
        <v>00000001</v>
      </c>
      <c r="D1040" s="265" t="str">
        <f t="shared" si="53"/>
        <v>00000001</v>
      </c>
      <c r="E1040" s="265" t="str">
        <f t="shared" si="53"/>
        <v>00000000</v>
      </c>
      <c r="F1040" s="265" t="str">
        <f t="shared" si="53"/>
        <v>0000</v>
      </c>
      <c r="G1040" s="265" t="str">
        <f t="shared" si="53"/>
        <v>0</v>
      </c>
      <c r="H1040" s="265" t="str">
        <f t="shared" si="53"/>
        <v>1</v>
      </c>
      <c r="I1040" s="265" t="str">
        <f t="shared" si="53"/>
        <v>0</v>
      </c>
      <c r="J1040" s="265" t="str">
        <f t="shared" si="53"/>
        <v>0</v>
      </c>
      <c r="K1040" s="261"/>
      <c r="L1040" s="261"/>
      <c r="M1040" s="261"/>
      <c r="N1040" s="261"/>
      <c r="O1040" s="261"/>
      <c r="P1040" s="261"/>
      <c r="Q1040" s="261"/>
      <c r="R1040" s="261"/>
      <c r="S1040" s="261"/>
      <c r="T1040" s="261"/>
      <c r="U1040" s="261"/>
      <c r="V1040" s="261"/>
      <c r="W1040" s="261"/>
      <c r="X1040" s="261"/>
      <c r="Y1040" s="261"/>
      <c r="Z1040" s="237" t="str">
        <f>BIN2HEX(RIGHT((LEFT(Z1035,20)),4))</f>
        <v>0</v>
      </c>
    </row>
    <row r="1041" spans="2:26" ht="13.5" thickBot="1">
      <c r="B1041" s="266" t="s">
        <v>18</v>
      </c>
      <c r="C1041" s="267" t="str">
        <f>CONCATENATE("0x",Z1036,Z1037,Z1038,Z1039,Z1040,Z1041,Z1042,Z1043)</f>
        <v>0x01010004</v>
      </c>
      <c r="Z1041" s="237" t="str">
        <f>BIN2HEX(RIGHT((LEFT(Z1035,24)),4))</f>
        <v>0</v>
      </c>
    </row>
    <row r="1042" spans="2:26">
      <c r="Z1042" s="237" t="str">
        <f>BIN2HEX(RIGHT((LEFT(Z1035,28)),4))</f>
        <v>0</v>
      </c>
    </row>
    <row r="1043" spans="2:26">
      <c r="K1043" s="237"/>
      <c r="Z1043" s="237" t="str">
        <f>BIN2HEX(RIGHT((LEFT(Z1035,33)),4))</f>
        <v>4</v>
      </c>
    </row>
    <row r="1044" spans="2:26">
      <c r="Z1044" s="248" t="s">
        <v>1087</v>
      </c>
    </row>
    <row r="1045" spans="2:26" ht="13.5" thickBot="1">
      <c r="Z1045" s="237" t="str">
        <f>CONCATENATE(C1050,D1050,E1050,F1050,G1050,H1050,I1050,J1050,K1050,L1050,M1050,N1050,O1050)</f>
        <v>00000000000000000111011111011101</v>
      </c>
    </row>
    <row r="1046" spans="2:26" ht="13.5" thickBot="1">
      <c r="B1046" s="245" t="s">
        <v>1087</v>
      </c>
      <c r="C1046" s="246"/>
      <c r="D1046" s="246"/>
      <c r="E1046" s="246"/>
      <c r="F1046" s="246"/>
      <c r="G1046" s="246"/>
      <c r="H1046" s="246"/>
      <c r="I1046" s="246"/>
      <c r="J1046" s="246"/>
      <c r="K1046" s="246"/>
      <c r="L1046" s="246"/>
      <c r="M1046" s="246"/>
      <c r="N1046" s="246"/>
      <c r="O1046" s="246"/>
      <c r="P1046" s="276"/>
      <c r="Q1046" s="276"/>
      <c r="R1046" s="276"/>
      <c r="S1046" s="276"/>
      <c r="T1046" s="276"/>
      <c r="U1046" s="276"/>
      <c r="V1046" s="276"/>
      <c r="W1046" s="276"/>
      <c r="X1046" s="276"/>
      <c r="Y1046" s="276"/>
      <c r="Z1046" s="237" t="str">
        <f>BIN2HEX(RIGHT((LEFT(Z1045,4)),4))</f>
        <v>0</v>
      </c>
    </row>
    <row r="1047" spans="2:26" ht="13.5" thickTop="1">
      <c r="B1047" s="249"/>
      <c r="C1047" s="268" t="s">
        <v>1088</v>
      </c>
      <c r="D1047" s="251" t="s">
        <v>1089</v>
      </c>
      <c r="E1047" s="268" t="s">
        <v>1090</v>
      </c>
      <c r="F1047" s="251" t="s">
        <v>1091</v>
      </c>
      <c r="G1047" s="268" t="s">
        <v>1092</v>
      </c>
      <c r="H1047" s="251" t="s">
        <v>1093</v>
      </c>
      <c r="I1047" s="268" t="s">
        <v>1094</v>
      </c>
      <c r="J1047" s="251" t="s">
        <v>1095</v>
      </c>
      <c r="K1047" s="251" t="s">
        <v>1096</v>
      </c>
      <c r="L1047" s="251" t="s">
        <v>1097</v>
      </c>
      <c r="M1047" s="251" t="s">
        <v>1098</v>
      </c>
      <c r="N1047" s="251" t="s">
        <v>1099</v>
      </c>
      <c r="O1047" s="251" t="s">
        <v>1100</v>
      </c>
      <c r="P1047" s="271"/>
      <c r="Q1047" s="271"/>
      <c r="R1047" s="271"/>
      <c r="S1047" s="271"/>
      <c r="T1047" s="271"/>
      <c r="U1047" s="271"/>
      <c r="V1047" s="271"/>
      <c r="W1047" s="271"/>
      <c r="X1047" s="271"/>
      <c r="Y1047" s="271"/>
      <c r="Z1047" s="237" t="str">
        <f>BIN2HEX(RIGHT((LEFT(Z1045,8)),4))</f>
        <v>0</v>
      </c>
    </row>
    <row r="1048" spans="2:26">
      <c r="B1048" s="255" t="s">
        <v>189</v>
      </c>
      <c r="C1048" s="256">
        <v>1</v>
      </c>
      <c r="D1048" s="257">
        <v>1</v>
      </c>
      <c r="E1048" s="257">
        <v>1</v>
      </c>
      <c r="F1048" s="257">
        <v>1</v>
      </c>
      <c r="G1048" s="257">
        <v>1</v>
      </c>
      <c r="H1048" s="257">
        <v>2</v>
      </c>
      <c r="I1048" s="257">
        <v>3</v>
      </c>
      <c r="J1048" s="257">
        <v>3</v>
      </c>
      <c r="K1048" s="257">
        <v>3</v>
      </c>
      <c r="L1048" s="257">
        <v>4</v>
      </c>
      <c r="M1048" s="257">
        <v>4</v>
      </c>
      <c r="N1048" s="257">
        <v>4</v>
      </c>
      <c r="O1048" s="257">
        <v>4</v>
      </c>
      <c r="P1048" s="274"/>
      <c r="Q1048" s="274"/>
      <c r="R1048" s="274"/>
      <c r="S1048" s="274"/>
      <c r="T1048" s="274"/>
      <c r="U1048" s="274"/>
      <c r="V1048" s="274"/>
      <c r="W1048" s="274"/>
      <c r="X1048" s="274"/>
      <c r="Y1048" s="274"/>
      <c r="Z1048" s="237" t="str">
        <f>BIN2HEX(RIGHT((LEFT(Z1045,12)),4))</f>
        <v>0</v>
      </c>
    </row>
    <row r="1049" spans="2:26">
      <c r="B1049" s="262" t="s">
        <v>16</v>
      </c>
      <c r="C1049" s="263">
        <v>0</v>
      </c>
      <c r="D1049" s="259">
        <v>0</v>
      </c>
      <c r="E1049" s="259">
        <v>0</v>
      </c>
      <c r="F1049" s="259">
        <v>0</v>
      </c>
      <c r="G1049" s="259">
        <v>0</v>
      </c>
      <c r="H1049" s="259">
        <v>0</v>
      </c>
      <c r="I1049" s="259">
        <v>0</v>
      </c>
      <c r="J1049" s="259">
        <v>0</v>
      </c>
      <c r="K1049" s="259">
        <v>0</v>
      </c>
      <c r="L1049" s="259">
        <f>IF(Memory_Type="LPDDR4",DEC2HEX(AM65x_Ron_AC_LPDDR4),7)</f>
        <v>7</v>
      </c>
      <c r="M1049" s="259" t="str">
        <f>IF(Memory_Type="LPDDR4",DEC2HEX(AM65x_Rtt_LPDDR4),DEC2HEX(AM65x_Rtt_DDR4))</f>
        <v>7</v>
      </c>
      <c r="N1049" s="259" t="str">
        <f>IF(Memory_Type="LPDDR4",DEC2HEX(AM65x_Ron_AC_LPDDR4),DEC2HEX(AM65x_Ron_AC_DDR4))</f>
        <v>D</v>
      </c>
      <c r="O1049" s="259" t="str">
        <f>IF(Memory_Type="LPDDR4",DEC2HEX(AM65x_Ron_AC_LPDDR4),DEC2HEX(AM65x_Ron_AC_DDR4))</f>
        <v>D</v>
      </c>
      <c r="P1049" s="261"/>
      <c r="Q1049" s="261"/>
      <c r="R1049" s="261"/>
      <c r="S1049" s="261"/>
      <c r="T1049" s="261"/>
      <c r="U1049" s="261"/>
      <c r="V1049" s="261"/>
      <c r="W1049" s="261"/>
      <c r="X1049" s="261"/>
      <c r="Y1049" s="261"/>
      <c r="Z1049" s="237" t="str">
        <f>BIN2HEX(RIGHT((LEFT(Z1045,16)),4))</f>
        <v>0</v>
      </c>
    </row>
    <row r="1050" spans="2:26" ht="13.5" thickBot="1">
      <c r="B1050" s="264" t="s">
        <v>17</v>
      </c>
      <c r="C1050" s="265" t="str">
        <f t="shared" ref="C1050:J1050" si="54">HEX2BIN(C1049,C1048)</f>
        <v>0</v>
      </c>
      <c r="D1050" s="265" t="str">
        <f t="shared" si="54"/>
        <v>0</v>
      </c>
      <c r="E1050" s="265" t="str">
        <f t="shared" si="54"/>
        <v>0</v>
      </c>
      <c r="F1050" s="265" t="str">
        <f t="shared" si="54"/>
        <v>0</v>
      </c>
      <c r="G1050" s="265" t="str">
        <f t="shared" si="54"/>
        <v>0</v>
      </c>
      <c r="H1050" s="265" t="str">
        <f t="shared" si="54"/>
        <v>00</v>
      </c>
      <c r="I1050" s="265" t="str">
        <f t="shared" si="54"/>
        <v>000</v>
      </c>
      <c r="J1050" s="265" t="str">
        <f t="shared" si="54"/>
        <v>000</v>
      </c>
      <c r="K1050" s="265" t="str">
        <f>HEX2BIN(K1049,K1048)</f>
        <v>000</v>
      </c>
      <c r="L1050" s="265" t="str">
        <f>HEX2BIN(L1049,L1048)</f>
        <v>0111</v>
      </c>
      <c r="M1050" s="265" t="str">
        <f>HEX2BIN(M1049,M1048)</f>
        <v>0111</v>
      </c>
      <c r="N1050" s="265" t="str">
        <f>HEX2BIN(N1049,N1048)</f>
        <v>1101</v>
      </c>
      <c r="O1050" s="265" t="str">
        <f>HEX2BIN(O1049,O1048)</f>
        <v>1101</v>
      </c>
      <c r="P1050" s="261"/>
      <c r="Q1050" s="261"/>
      <c r="R1050" s="261"/>
      <c r="S1050" s="261"/>
      <c r="T1050" s="261"/>
      <c r="U1050" s="261"/>
      <c r="V1050" s="261"/>
      <c r="W1050" s="261"/>
      <c r="X1050" s="261"/>
      <c r="Y1050" s="261"/>
      <c r="Z1050" s="237" t="str">
        <f>BIN2HEX(RIGHT((LEFT(Z1045,20)),4))</f>
        <v>7</v>
      </c>
    </row>
    <row r="1051" spans="2:26" ht="13.5" thickBot="1">
      <c r="B1051" s="266" t="s">
        <v>18</v>
      </c>
      <c r="C1051" s="267" t="str">
        <f>CONCATENATE("0x",Z1046,Z1047,Z1048,Z1049,Z1050,Z1051,Z1052,Z1053)</f>
        <v>0x000077DD</v>
      </c>
      <c r="Z1051" s="237" t="str">
        <f>BIN2HEX(RIGHT((LEFT(Z1045,24)),4))</f>
        <v>7</v>
      </c>
    </row>
    <row r="1052" spans="2:26">
      <c r="Z1052" s="237" t="str">
        <f>BIN2HEX(RIGHT((LEFT(Z1045,28)),4))</f>
        <v>D</v>
      </c>
    </row>
    <row r="1053" spans="2:26">
      <c r="K1053" s="237"/>
      <c r="Z1053" s="237" t="str">
        <f>BIN2HEX(RIGHT((LEFT(Z1045,33)),4))</f>
        <v>D</v>
      </c>
    </row>
    <row r="1054" spans="2:26">
      <c r="Z1054" s="248" t="s">
        <v>1423</v>
      </c>
    </row>
    <row r="1055" spans="2:26" ht="13.5" thickBot="1">
      <c r="Z1055" s="237" t="str">
        <f>CONCATENATE(C1060,D1060,E1060,F1060,G1060,H1060,I1060,J1060,K1060,L1060,M1060,N1060,O1060)</f>
        <v>00000000000000000111011110011001</v>
      </c>
    </row>
    <row r="1056" spans="2:26" ht="13.5" thickBot="1">
      <c r="B1056" s="245" t="s">
        <v>1423</v>
      </c>
      <c r="C1056" s="246"/>
      <c r="D1056" s="246"/>
      <c r="E1056" s="246"/>
      <c r="F1056" s="246"/>
      <c r="G1056" s="246"/>
      <c r="H1056" s="246"/>
      <c r="I1056" s="246"/>
      <c r="J1056" s="246"/>
      <c r="K1056" s="246"/>
      <c r="L1056" s="246"/>
      <c r="M1056" s="246"/>
      <c r="N1056" s="246"/>
      <c r="O1056" s="246"/>
      <c r="P1056" s="276"/>
      <c r="Q1056" s="276"/>
      <c r="R1056" s="276"/>
      <c r="S1056" s="276"/>
      <c r="T1056" s="276"/>
      <c r="U1056" s="276"/>
      <c r="V1056" s="276"/>
      <c r="W1056" s="276"/>
      <c r="X1056" s="276"/>
      <c r="Y1056" s="276"/>
      <c r="Z1056" s="237" t="str">
        <f>BIN2HEX(RIGHT((LEFT(Z1055,4)),4))</f>
        <v>0</v>
      </c>
    </row>
    <row r="1057" spans="2:26" ht="13.5" thickTop="1">
      <c r="B1057" s="249"/>
      <c r="C1057" s="268" t="s">
        <v>1088</v>
      </c>
      <c r="D1057" s="251" t="s">
        <v>1089</v>
      </c>
      <c r="E1057" s="268" t="s">
        <v>1090</v>
      </c>
      <c r="F1057" s="251" t="s">
        <v>1091</v>
      </c>
      <c r="G1057" s="268" t="s">
        <v>1092</v>
      </c>
      <c r="H1057" s="251" t="s">
        <v>1093</v>
      </c>
      <c r="I1057" s="268" t="s">
        <v>1094</v>
      </c>
      <c r="J1057" s="251" t="s">
        <v>1095</v>
      </c>
      <c r="K1057" s="251" t="s">
        <v>1096</v>
      </c>
      <c r="L1057" s="251" t="s">
        <v>1097</v>
      </c>
      <c r="M1057" s="251" t="s">
        <v>1098</v>
      </c>
      <c r="N1057" s="251" t="s">
        <v>1099</v>
      </c>
      <c r="O1057" s="251" t="s">
        <v>1100</v>
      </c>
      <c r="P1057" s="271"/>
      <c r="Q1057" s="271"/>
      <c r="R1057" s="271"/>
      <c r="S1057" s="271"/>
      <c r="T1057" s="271"/>
      <c r="U1057" s="271"/>
      <c r="V1057" s="271"/>
      <c r="W1057" s="271"/>
      <c r="X1057" s="271"/>
      <c r="Y1057" s="271"/>
      <c r="Z1057" s="237" t="str">
        <f>BIN2HEX(RIGHT((LEFT(Z1055,8)),4))</f>
        <v>0</v>
      </c>
    </row>
    <row r="1058" spans="2:26">
      <c r="B1058" s="255" t="s">
        <v>189</v>
      </c>
      <c r="C1058" s="256">
        <v>1</v>
      </c>
      <c r="D1058" s="257">
        <v>1</v>
      </c>
      <c r="E1058" s="257">
        <v>1</v>
      </c>
      <c r="F1058" s="257">
        <v>1</v>
      </c>
      <c r="G1058" s="257">
        <v>1</v>
      </c>
      <c r="H1058" s="257">
        <v>2</v>
      </c>
      <c r="I1058" s="257">
        <v>3</v>
      </c>
      <c r="J1058" s="257">
        <v>3</v>
      </c>
      <c r="K1058" s="257">
        <v>3</v>
      </c>
      <c r="L1058" s="257">
        <v>4</v>
      </c>
      <c r="M1058" s="257">
        <v>4</v>
      </c>
      <c r="N1058" s="257">
        <v>4</v>
      </c>
      <c r="O1058" s="257">
        <v>4</v>
      </c>
      <c r="P1058" s="274"/>
      <c r="Q1058" s="274"/>
      <c r="R1058" s="274"/>
      <c r="S1058" s="274"/>
      <c r="T1058" s="274"/>
      <c r="U1058" s="274"/>
      <c r="V1058" s="274"/>
      <c r="W1058" s="274"/>
      <c r="X1058" s="274"/>
      <c r="Y1058" s="274"/>
      <c r="Z1058" s="237" t="str">
        <f>BIN2HEX(RIGHT((LEFT(Z1055,12)),4))</f>
        <v>0</v>
      </c>
    </row>
    <row r="1059" spans="2:26">
      <c r="B1059" s="262" t="s">
        <v>16</v>
      </c>
      <c r="C1059" s="263">
        <v>0</v>
      </c>
      <c r="D1059" s="259">
        <v>0</v>
      </c>
      <c r="E1059" s="259">
        <v>0</v>
      </c>
      <c r="F1059" s="259">
        <v>0</v>
      </c>
      <c r="G1059" s="259">
        <v>0</v>
      </c>
      <c r="H1059" s="259">
        <v>0</v>
      </c>
      <c r="I1059" s="259">
        <v>0</v>
      </c>
      <c r="J1059" s="259">
        <v>0</v>
      </c>
      <c r="K1059" s="259">
        <v>0</v>
      </c>
      <c r="L1059" s="259">
        <f>IF(Memory_Type="LPDDR4",DEC2HEX(AM65x_Ron_DQ_LPDDR4),7)</f>
        <v>7</v>
      </c>
      <c r="M1059" s="259" t="str">
        <f>IF(Memory_Type="LPDDR4",DEC2HEX(AM65x_Rtt_LPDDR4),DEC2HEX(AM65x_Rtt_DDR4))</f>
        <v>7</v>
      </c>
      <c r="N1059" s="259" t="str">
        <f>IF(Memory_Type="LPDDR4",DEC2HEX(AM65x_Ron_DQ_LPDDR4),DEC2HEX(AM65x_Ron_DQ_DDR4))</f>
        <v>9</v>
      </c>
      <c r="O1059" s="259" t="str">
        <f>IF(Memory_Type="LPDDR4",DEC2HEX(AM65x_Ron_DQ_LPDDR4),DEC2HEX(AM65x_Ron_DQ_DDR4))</f>
        <v>9</v>
      </c>
      <c r="P1059" s="261"/>
      <c r="Q1059" s="261"/>
      <c r="R1059" s="261"/>
      <c r="S1059" s="261"/>
      <c r="T1059" s="261"/>
      <c r="U1059" s="261"/>
      <c r="V1059" s="261"/>
      <c r="W1059" s="261"/>
      <c r="X1059" s="261"/>
      <c r="Y1059" s="261"/>
      <c r="Z1059" s="237" t="str">
        <f>BIN2HEX(RIGHT((LEFT(Z1055,16)),4))</f>
        <v>0</v>
      </c>
    </row>
    <row r="1060" spans="2:26" ht="13.5" thickBot="1">
      <c r="B1060" s="264" t="s">
        <v>17</v>
      </c>
      <c r="C1060" s="265" t="str">
        <f t="shared" ref="C1060:J1060" si="55">HEX2BIN(C1059,C1058)</f>
        <v>0</v>
      </c>
      <c r="D1060" s="265" t="str">
        <f t="shared" si="55"/>
        <v>0</v>
      </c>
      <c r="E1060" s="265" t="str">
        <f t="shared" si="55"/>
        <v>0</v>
      </c>
      <c r="F1060" s="265" t="str">
        <f t="shared" si="55"/>
        <v>0</v>
      </c>
      <c r="G1060" s="265" t="str">
        <f t="shared" si="55"/>
        <v>0</v>
      </c>
      <c r="H1060" s="265" t="str">
        <f t="shared" si="55"/>
        <v>00</v>
      </c>
      <c r="I1060" s="265" t="str">
        <f t="shared" si="55"/>
        <v>000</v>
      </c>
      <c r="J1060" s="265" t="str">
        <f t="shared" si="55"/>
        <v>000</v>
      </c>
      <c r="K1060" s="265" t="str">
        <f>HEX2BIN(K1059,K1058)</f>
        <v>000</v>
      </c>
      <c r="L1060" s="265" t="str">
        <f>HEX2BIN(L1059,L1058)</f>
        <v>0111</v>
      </c>
      <c r="M1060" s="265" t="str">
        <f>HEX2BIN(M1059,M1058)</f>
        <v>0111</v>
      </c>
      <c r="N1060" s="265" t="str">
        <f>HEX2BIN(N1059,N1058)</f>
        <v>1001</v>
      </c>
      <c r="O1060" s="265" t="str">
        <f>HEX2BIN(O1059,O1058)</f>
        <v>1001</v>
      </c>
      <c r="P1060" s="261"/>
      <c r="Q1060" s="261"/>
      <c r="R1060" s="261"/>
      <c r="S1060" s="261"/>
      <c r="T1060" s="261"/>
      <c r="U1060" s="261"/>
      <c r="V1060" s="261"/>
      <c r="W1060" s="261"/>
      <c r="X1060" s="261"/>
      <c r="Y1060" s="261"/>
      <c r="Z1060" s="237" t="str">
        <f>BIN2HEX(RIGHT((LEFT(Z1055,20)),4))</f>
        <v>7</v>
      </c>
    </row>
    <row r="1061" spans="2:26" ht="13.5" thickBot="1">
      <c r="B1061" s="266" t="s">
        <v>18</v>
      </c>
      <c r="C1061" s="267" t="str">
        <f>CONCATENATE("0x",Z1056,Z1057,Z1058,Z1059,Z1060,Z1061,Z1062,Z1063)</f>
        <v>0x00007799</v>
      </c>
      <c r="Z1061" s="237" t="str">
        <f>BIN2HEX(RIGHT((LEFT(Z1055,24)),4))</f>
        <v>7</v>
      </c>
    </row>
    <row r="1062" spans="2:26">
      <c r="Z1062" s="237" t="str">
        <f>BIN2HEX(RIGHT((LEFT(Z1055,28)),4))</f>
        <v>9</v>
      </c>
    </row>
    <row r="1063" spans="2:26">
      <c r="K1063" s="237"/>
      <c r="Z1063" s="237" t="str">
        <f>BIN2HEX(RIGHT((LEFT(Z1055,33)),4))</f>
        <v>9</v>
      </c>
    </row>
    <row r="1064" spans="2:26">
      <c r="Z1064" s="248" t="s">
        <v>804</v>
      </c>
    </row>
    <row r="1065" spans="2:26" ht="13.5" thickBot="1">
      <c r="Z1065" s="237" t="str">
        <f>CONCATENATE(C1070,D1070,E1070,F1070,G1070)</f>
        <v>00000000000010000011110111101111</v>
      </c>
    </row>
    <row r="1066" spans="2:26" ht="13.5" thickBot="1">
      <c r="B1066" s="245" t="s">
        <v>804</v>
      </c>
      <c r="C1066" s="246"/>
      <c r="D1066" s="246"/>
      <c r="E1066" s="246"/>
      <c r="F1066" s="246"/>
      <c r="G1066" s="246"/>
      <c r="H1066" s="276"/>
      <c r="I1066" s="276"/>
      <c r="J1066" s="276"/>
      <c r="K1066" s="276"/>
      <c r="L1066" s="276"/>
      <c r="M1066" s="276"/>
      <c r="N1066" s="276"/>
      <c r="O1066" s="276"/>
      <c r="P1066" s="276"/>
      <c r="Q1066" s="276"/>
      <c r="R1066" s="276"/>
      <c r="S1066" s="276"/>
      <c r="T1066" s="276"/>
      <c r="U1066" s="276"/>
      <c r="V1066" s="276"/>
      <c r="W1066" s="276"/>
      <c r="X1066" s="276"/>
      <c r="Y1066" s="276"/>
      <c r="Z1066" s="237" t="str">
        <f>BIN2HEX(RIGHT((LEFT(Z1065,4)),4))</f>
        <v>0</v>
      </c>
    </row>
    <row r="1067" spans="2:26" ht="13.5" thickTop="1">
      <c r="B1067" s="249"/>
      <c r="C1067" s="268" t="s">
        <v>1187</v>
      </c>
      <c r="D1067" s="251" t="s">
        <v>1231</v>
      </c>
      <c r="E1067" s="268" t="s">
        <v>1232</v>
      </c>
      <c r="F1067" s="251" t="s">
        <v>1233</v>
      </c>
      <c r="G1067" s="251" t="s">
        <v>1234</v>
      </c>
      <c r="H1067" s="271"/>
      <c r="I1067" s="271"/>
      <c r="J1067" s="271"/>
      <c r="K1067" s="271"/>
      <c r="L1067" s="271"/>
      <c r="M1067" s="271"/>
      <c r="N1067" s="271"/>
      <c r="O1067" s="271"/>
      <c r="P1067" s="271"/>
      <c r="Q1067" s="271"/>
      <c r="R1067" s="271"/>
      <c r="S1067" s="271"/>
      <c r="T1067" s="271"/>
      <c r="U1067" s="271"/>
      <c r="V1067" s="271"/>
      <c r="W1067" s="271"/>
      <c r="X1067" s="271"/>
      <c r="Y1067" s="271"/>
      <c r="Z1067" s="237" t="str">
        <f>BIN2HEX(RIGHT((LEFT(Z1065,8)),4))</f>
        <v>0</v>
      </c>
    </row>
    <row r="1068" spans="2:26">
      <c r="B1068" s="255" t="s">
        <v>189</v>
      </c>
      <c r="C1068" s="256">
        <v>11</v>
      </c>
      <c r="D1068" s="257">
        <v>5</v>
      </c>
      <c r="E1068" s="256">
        <v>5</v>
      </c>
      <c r="F1068" s="257">
        <v>5</v>
      </c>
      <c r="G1068" s="257">
        <v>5</v>
      </c>
      <c r="H1068" s="274"/>
      <c r="I1068" s="274"/>
      <c r="J1068" s="274"/>
      <c r="K1068" s="274"/>
      <c r="L1068" s="274"/>
      <c r="M1068" s="274"/>
      <c r="N1068" s="274"/>
      <c r="O1068" s="274"/>
      <c r="P1068" s="274"/>
      <c r="Q1068" s="274"/>
      <c r="R1068" s="274"/>
      <c r="S1068" s="274"/>
      <c r="T1068" s="274"/>
      <c r="U1068" s="274"/>
      <c r="V1068" s="274"/>
      <c r="W1068" s="274"/>
      <c r="X1068" s="274"/>
      <c r="Y1068" s="274"/>
      <c r="Z1068" s="237" t="str">
        <f>BIN2HEX(RIGHT((LEFT(Z1065,12)),4))</f>
        <v>0</v>
      </c>
    </row>
    <row r="1069" spans="2:26">
      <c r="B1069" s="262" t="s">
        <v>16</v>
      </c>
      <c r="C1069" s="263">
        <v>0</v>
      </c>
      <c r="D1069" s="259" t="str">
        <f>IF(Memory_Type="LPDDR4",DEC2HEX(tWLWPRE/tCK),"10")</f>
        <v>10</v>
      </c>
      <c r="E1069" s="263" t="s">
        <v>714</v>
      </c>
      <c r="F1069" s="259" t="s">
        <v>714</v>
      </c>
      <c r="G1069" s="259" t="s">
        <v>714</v>
      </c>
      <c r="H1069" s="261"/>
      <c r="I1069" s="261"/>
      <c r="J1069" s="261"/>
      <c r="K1069" s="261"/>
      <c r="L1069" s="261"/>
      <c r="M1069" s="261"/>
      <c r="N1069" s="261"/>
      <c r="O1069" s="261"/>
      <c r="P1069" s="261"/>
      <c r="Q1069" s="261"/>
      <c r="R1069" s="261"/>
      <c r="S1069" s="261"/>
      <c r="T1069" s="261"/>
      <c r="U1069" s="261"/>
      <c r="V1069" s="261"/>
      <c r="W1069" s="261"/>
      <c r="X1069" s="261"/>
      <c r="Y1069" s="261"/>
      <c r="Z1069" s="237" t="str">
        <f>BIN2HEX(RIGHT((LEFT(Z1065,16)),4))</f>
        <v>8</v>
      </c>
    </row>
    <row r="1070" spans="2:26" ht="13.5" thickBot="1">
      <c r="B1070" s="264" t="s">
        <v>17</v>
      </c>
      <c r="C1070" s="277" t="s">
        <v>381</v>
      </c>
      <c r="D1070" s="265" t="str">
        <f>HEX2BIN(D1069,D1068)</f>
        <v>10000</v>
      </c>
      <c r="E1070" s="265" t="str">
        <f>HEX2BIN(E1069,E1068)</f>
        <v>01111</v>
      </c>
      <c r="F1070" s="265" t="str">
        <f>HEX2BIN(F1069,F1068)</f>
        <v>01111</v>
      </c>
      <c r="G1070" s="265" t="str">
        <f>HEX2BIN(G1069,G1068)</f>
        <v>01111</v>
      </c>
      <c r="H1070" s="261"/>
      <c r="I1070" s="261"/>
      <c r="J1070" s="261"/>
      <c r="K1070" s="261"/>
      <c r="L1070" s="261"/>
      <c r="M1070" s="261"/>
      <c r="N1070" s="261"/>
      <c r="O1070" s="261"/>
      <c r="P1070" s="261"/>
      <c r="Q1070" s="261"/>
      <c r="R1070" s="261"/>
      <c r="S1070" s="261"/>
      <c r="T1070" s="261"/>
      <c r="U1070" s="261"/>
      <c r="V1070" s="261"/>
      <c r="W1070" s="261"/>
      <c r="X1070" s="261"/>
      <c r="Y1070" s="261"/>
      <c r="Z1070" s="237" t="str">
        <f>BIN2HEX(RIGHT((LEFT(Z1065,20)),4))</f>
        <v>3</v>
      </c>
    </row>
    <row r="1071" spans="2:26" ht="13.5" thickBot="1">
      <c r="B1071" s="266" t="s">
        <v>18</v>
      </c>
      <c r="C1071" s="267" t="str">
        <f>CONCATENATE("0x",Z1066,Z1067,Z1068,Z1069,Z1070,Z1071,Z1072,Z1073)</f>
        <v>0x00083DEF</v>
      </c>
      <c r="Z1071" s="237" t="str">
        <f>BIN2HEX(RIGHT((LEFT(Z1065,24)),4))</f>
        <v>D</v>
      </c>
    </row>
    <row r="1072" spans="2:26">
      <c r="Z1072" s="237" t="str">
        <f>BIN2HEX(RIGHT((LEFT(Z1065,28)),4))</f>
        <v>E</v>
      </c>
    </row>
    <row r="1073" spans="2:26">
      <c r="K1073" s="237"/>
      <c r="Z1073" s="237" t="str">
        <f>BIN2HEX(RIGHT((LEFT(Z1065,33)),4))</f>
        <v>F</v>
      </c>
    </row>
    <row r="1075" spans="2:26">
      <c r="Z1075" s="248" t="s">
        <v>805</v>
      </c>
    </row>
    <row r="1076" spans="2:26" ht="13.5" thickBot="1">
      <c r="Z1076" s="237" t="str">
        <f>CONCATENATE(C1081,D1081)</f>
        <v>00000000000001010001011000010110</v>
      </c>
    </row>
    <row r="1077" spans="2:26" ht="13.5" thickBot="1">
      <c r="B1077" s="245" t="s">
        <v>805</v>
      </c>
      <c r="C1077" s="246"/>
      <c r="D1077" s="246"/>
      <c r="E1077" s="276"/>
      <c r="F1077" s="276"/>
      <c r="G1077" s="276"/>
      <c r="H1077" s="276"/>
      <c r="I1077" s="276"/>
      <c r="J1077" s="276"/>
      <c r="K1077" s="276"/>
      <c r="L1077" s="276"/>
      <c r="M1077" s="276"/>
      <c r="N1077" s="276"/>
      <c r="O1077" s="276"/>
      <c r="P1077" s="276"/>
      <c r="Q1077" s="276"/>
      <c r="R1077" s="276"/>
      <c r="S1077" s="276"/>
      <c r="T1077" s="276"/>
      <c r="U1077" s="276"/>
      <c r="V1077" s="276"/>
      <c r="W1077" s="276"/>
      <c r="X1077" s="276"/>
      <c r="Y1077" s="276"/>
      <c r="Z1077" s="237" t="str">
        <f>BIN2HEX(RIGHT((LEFT(Z1076,4)),4))</f>
        <v>0</v>
      </c>
    </row>
    <row r="1078" spans="2:26" ht="13.5" thickTop="1">
      <c r="B1078" s="249"/>
      <c r="C1078" s="268" t="s">
        <v>1107</v>
      </c>
      <c r="D1078" s="251" t="s">
        <v>1108</v>
      </c>
      <c r="E1078" s="271"/>
      <c r="F1078" s="271"/>
      <c r="G1078" s="271"/>
      <c r="H1078" s="271"/>
      <c r="I1078" s="271"/>
      <c r="J1078" s="271"/>
      <c r="K1078" s="271"/>
      <c r="L1078" s="271"/>
      <c r="M1078" s="271"/>
      <c r="N1078" s="271"/>
      <c r="O1078" s="271"/>
      <c r="P1078" s="271"/>
      <c r="Q1078" s="271"/>
      <c r="R1078" s="271"/>
      <c r="S1078" s="271"/>
      <c r="T1078" s="271"/>
      <c r="U1078" s="271"/>
      <c r="V1078" s="271"/>
      <c r="W1078" s="271"/>
      <c r="X1078" s="271"/>
      <c r="Y1078" s="271"/>
      <c r="Z1078" s="237" t="str">
        <f>BIN2HEX(RIGHT((LEFT(Z1076,8)),4))</f>
        <v>0</v>
      </c>
    </row>
    <row r="1079" spans="2:26">
      <c r="B1079" s="255" t="s">
        <v>189</v>
      </c>
      <c r="C1079" s="256">
        <v>8</v>
      </c>
      <c r="D1079" s="257">
        <v>23</v>
      </c>
      <c r="E1079" s="274"/>
      <c r="F1079" s="274"/>
      <c r="G1079" s="274"/>
      <c r="H1079" s="274"/>
      <c r="I1079" s="274"/>
      <c r="J1079" s="274"/>
      <c r="K1079" s="274"/>
      <c r="L1079" s="274"/>
      <c r="M1079" s="274"/>
      <c r="N1079" s="274"/>
      <c r="O1079" s="274"/>
      <c r="P1079" s="274"/>
      <c r="Q1079" s="274"/>
      <c r="R1079" s="274"/>
      <c r="S1079" s="274"/>
      <c r="T1079" s="274"/>
      <c r="U1079" s="274"/>
      <c r="V1079" s="274"/>
      <c r="W1079" s="274"/>
      <c r="X1079" s="274"/>
      <c r="Y1079" s="274"/>
      <c r="Z1079" s="237" t="str">
        <f>BIN2HEX(RIGHT((LEFT(Z1076,12)),4))</f>
        <v>0</v>
      </c>
    </row>
    <row r="1080" spans="2:26">
      <c r="B1080" s="262" t="s">
        <v>16</v>
      </c>
      <c r="C1080" s="263">
        <v>0</v>
      </c>
      <c r="D1080" s="259" t="str">
        <f>IF(OR(Memory_Type="DDR4",Memory_Type="DDR3L"),DEC2HEX(CEILING(500000/tCK,1),6),DEC2HEX(CEILING(2000000/tCK,1),6))</f>
        <v>051616</v>
      </c>
      <c r="E1080" s="261"/>
      <c r="F1080" s="261"/>
      <c r="G1080" s="261"/>
      <c r="H1080" s="261"/>
      <c r="I1080" s="261"/>
      <c r="J1080" s="261"/>
      <c r="K1080" s="261"/>
      <c r="L1080" s="261"/>
      <c r="M1080" s="261"/>
      <c r="N1080" s="261"/>
      <c r="O1080" s="261"/>
      <c r="P1080" s="261"/>
      <c r="Q1080" s="261"/>
      <c r="R1080" s="261"/>
      <c r="S1080" s="261"/>
      <c r="T1080" s="261"/>
      <c r="U1080" s="261"/>
      <c r="V1080" s="261"/>
      <c r="W1080" s="261"/>
      <c r="X1080" s="261"/>
      <c r="Y1080" s="261"/>
      <c r="Z1080" s="237" t="str">
        <f>BIN2HEX(RIGHT((LEFT(Z1076,16)),4))</f>
        <v>5</v>
      </c>
    </row>
    <row r="1081" spans="2:26" ht="13.5" thickBot="1">
      <c r="B1081" s="264" t="s">
        <v>17</v>
      </c>
      <c r="C1081" s="265" t="str">
        <f>HEX2BIN(C1080,C1079)</f>
        <v>00000000</v>
      </c>
      <c r="D1081" s="265" t="str">
        <f>CONCATENATE(HEX2BIN(LEFT(RIGHT(D1080,6),2),8),HEX2BIN(LEFT(RIGHT(D1080,4),2),8),HEX2BIN(LEFT(RIGHT(D1080,2),2),8))</f>
        <v>000001010001011000010110</v>
      </c>
      <c r="E1081" s="261"/>
      <c r="F1081" s="261"/>
      <c r="G1081" s="261"/>
      <c r="H1081" s="261"/>
      <c r="I1081" s="261"/>
      <c r="J1081" s="261"/>
      <c r="K1081" s="261"/>
      <c r="L1081" s="261"/>
      <c r="M1081" s="261"/>
      <c r="N1081" s="261"/>
      <c r="O1081" s="261"/>
      <c r="P1081" s="261"/>
      <c r="Q1081" s="261"/>
      <c r="R1081" s="261"/>
      <c r="S1081" s="261"/>
      <c r="T1081" s="261"/>
      <c r="U1081" s="261"/>
      <c r="V1081" s="261"/>
      <c r="W1081" s="261"/>
      <c r="X1081" s="261"/>
      <c r="Y1081" s="261"/>
      <c r="Z1081" s="237" t="str">
        <f>BIN2HEX(RIGHT((LEFT(Z1076,20)),4))</f>
        <v>1</v>
      </c>
    </row>
    <row r="1082" spans="2:26" ht="13.5" thickBot="1">
      <c r="B1082" s="266" t="s">
        <v>18</v>
      </c>
      <c r="C1082" s="267" t="str">
        <f>CONCATENATE("0x",Z1077,Z1078,Z1079,Z1080,Z1081,Z1082,Z1083,Z1084)</f>
        <v>0x00051616</v>
      </c>
      <c r="Z1082" s="237" t="str">
        <f>BIN2HEX(RIGHT((LEFT(Z1076,24)),4))</f>
        <v>6</v>
      </c>
    </row>
    <row r="1083" spans="2:26">
      <c r="Z1083" s="237" t="str">
        <f>BIN2HEX(RIGHT((LEFT(Z1076,28)),4))</f>
        <v>1</v>
      </c>
    </row>
    <row r="1084" spans="2:26">
      <c r="K1084" s="237"/>
      <c r="Z1084" s="237" t="str">
        <f>BIN2HEX(RIGHT((LEFT(Z1076,33)),4))</f>
        <v>6</v>
      </c>
    </row>
    <row r="1086" spans="2:26">
      <c r="Z1086" s="248" t="s">
        <v>806</v>
      </c>
    </row>
    <row r="1087" spans="2:26" ht="13.5" thickBot="1">
      <c r="Z1087" s="237" t="str">
        <f>CONCATENATE(C1092,D1092)</f>
        <v>00000000000000000000000011110000</v>
      </c>
    </row>
    <row r="1088" spans="2:26" ht="13.5" thickBot="1">
      <c r="B1088" s="245" t="s">
        <v>806</v>
      </c>
      <c r="C1088" s="246"/>
      <c r="D1088" s="246"/>
      <c r="E1088" s="276"/>
      <c r="F1088" s="276"/>
      <c r="G1088" s="276"/>
      <c r="H1088" s="276"/>
      <c r="I1088" s="276"/>
      <c r="J1088" s="276"/>
      <c r="K1088" s="276"/>
      <c r="L1088" s="276"/>
      <c r="M1088" s="276"/>
      <c r="N1088" s="276"/>
      <c r="O1088" s="276"/>
      <c r="P1088" s="276"/>
      <c r="Q1088" s="276"/>
      <c r="R1088" s="276"/>
      <c r="S1088" s="276"/>
      <c r="T1088" s="276"/>
      <c r="U1088" s="276"/>
      <c r="V1088" s="276"/>
      <c r="W1088" s="276"/>
      <c r="X1088" s="276"/>
      <c r="Y1088" s="276"/>
      <c r="Z1088" s="237" t="str">
        <f>BIN2HEX(RIGHT((LEFT(Z1087,4)),4))</f>
        <v>0</v>
      </c>
    </row>
    <row r="1089" spans="2:26" ht="13.5" thickTop="1">
      <c r="B1089" s="249"/>
      <c r="C1089" s="268" t="s">
        <v>422</v>
      </c>
      <c r="D1089" s="251" t="s">
        <v>1109</v>
      </c>
      <c r="E1089" s="271"/>
      <c r="F1089" s="271"/>
      <c r="G1089" s="271"/>
      <c r="H1089" s="271"/>
      <c r="I1089" s="271"/>
      <c r="J1089" s="271"/>
      <c r="K1089" s="271"/>
      <c r="L1089" s="271"/>
      <c r="M1089" s="271"/>
      <c r="N1089" s="271"/>
      <c r="O1089" s="271"/>
      <c r="P1089" s="271"/>
      <c r="Q1089" s="271"/>
      <c r="R1089" s="271"/>
      <c r="S1089" s="271"/>
      <c r="T1089" s="271"/>
      <c r="U1089" s="271"/>
      <c r="V1089" s="271"/>
      <c r="W1089" s="271"/>
      <c r="X1089" s="271"/>
      <c r="Y1089" s="271"/>
      <c r="Z1089" s="237" t="str">
        <f>BIN2HEX(RIGHT((LEFT(Z1087,8)),4))</f>
        <v>0</v>
      </c>
    </row>
    <row r="1090" spans="2:26">
      <c r="B1090" s="255" t="s">
        <v>189</v>
      </c>
      <c r="C1090" s="256">
        <v>19</v>
      </c>
      <c r="D1090" s="257">
        <v>13</v>
      </c>
      <c r="E1090" s="274"/>
      <c r="F1090" s="274"/>
      <c r="G1090" s="274"/>
      <c r="H1090" s="274"/>
      <c r="I1090" s="274"/>
      <c r="J1090" s="274"/>
      <c r="K1090" s="274"/>
      <c r="L1090" s="274"/>
      <c r="M1090" s="274"/>
      <c r="N1090" s="274"/>
      <c r="O1090" s="274"/>
      <c r="P1090" s="274"/>
      <c r="Q1090" s="274"/>
      <c r="R1090" s="274"/>
      <c r="S1090" s="274"/>
      <c r="T1090" s="274"/>
      <c r="U1090" s="274"/>
      <c r="V1090" s="274"/>
      <c r="W1090" s="274"/>
      <c r="X1090" s="274"/>
      <c r="Y1090" s="274"/>
      <c r="Z1090" s="237" t="str">
        <f>BIN2HEX(RIGHT((LEFT(Z1087,12)),4))</f>
        <v>0</v>
      </c>
    </row>
    <row r="1091" spans="2:26">
      <c r="B1091" s="262" t="s">
        <v>16</v>
      </c>
      <c r="C1091" s="263">
        <v>0</v>
      </c>
      <c r="D1091" s="259" t="str">
        <f>IF(Memory_Type="DDR4",DEC2HEX(CEILING(tXPR/tCK,1),4),IF(Memory_Type="DDR3L",DEC2HEX(MAX(tRFC+10,5*tCK),4),DEC2HEX(CEILING(2000/tCK,1),4)))</f>
        <v>00F0</v>
      </c>
      <c r="E1091" s="261"/>
      <c r="F1091" s="261"/>
      <c r="G1091" s="261"/>
      <c r="H1091" s="261"/>
      <c r="I1091" s="261"/>
      <c r="J1091" s="261"/>
      <c r="K1091" s="261"/>
      <c r="L1091" s="261"/>
      <c r="M1091" s="261"/>
      <c r="N1091" s="261"/>
      <c r="O1091" s="261"/>
      <c r="P1091" s="261"/>
      <c r="Q1091" s="261"/>
      <c r="R1091" s="261"/>
      <c r="S1091" s="261"/>
      <c r="T1091" s="261"/>
      <c r="U1091" s="261"/>
      <c r="V1091" s="261"/>
      <c r="W1091" s="261"/>
      <c r="X1091" s="261"/>
      <c r="Y1091" s="261"/>
      <c r="Z1091" s="237" t="str">
        <f>BIN2HEX(RIGHT((LEFT(Z1087,16)),4))</f>
        <v>0</v>
      </c>
    </row>
    <row r="1092" spans="2:26" ht="13.5" thickBot="1">
      <c r="B1092" s="264" t="s">
        <v>17</v>
      </c>
      <c r="C1092" s="277" t="s">
        <v>431</v>
      </c>
      <c r="D1092" s="265" t="str">
        <f>CONCATENATE(HEX2BIN(LEFT(RIGHT(D1091,4),2),5),HEX2BIN(LEFT(RIGHT(D1091,2),2),8))</f>
        <v>0000011110000</v>
      </c>
      <c r="E1092" s="261"/>
      <c r="F1092" s="261"/>
      <c r="G1092" s="261"/>
      <c r="H1092" s="261"/>
      <c r="I1092" s="261"/>
      <c r="J1092" s="261"/>
      <c r="K1092" s="261"/>
      <c r="L1092" s="261"/>
      <c r="M1092" s="261"/>
      <c r="N1092" s="261"/>
      <c r="O1092" s="261"/>
      <c r="P1092" s="261"/>
      <c r="Q1092" s="261"/>
      <c r="R1092" s="261"/>
      <c r="S1092" s="261"/>
      <c r="T1092" s="261"/>
      <c r="U1092" s="261"/>
      <c r="V1092" s="261"/>
      <c r="W1092" s="261"/>
      <c r="X1092" s="261"/>
      <c r="Y1092" s="261"/>
      <c r="Z1092" s="237" t="str">
        <f>BIN2HEX(RIGHT((LEFT(Z1087,20)),4))</f>
        <v>0</v>
      </c>
    </row>
    <row r="1093" spans="2:26" ht="13.5" thickBot="1">
      <c r="B1093" s="266" t="s">
        <v>18</v>
      </c>
      <c r="C1093" s="267" t="str">
        <f>CONCATENATE("0x",Z1088,Z1089,Z1090,Z1091,Z1092,Z1093,Z1094,Z1095)</f>
        <v>0x000000F0</v>
      </c>
      <c r="Z1093" s="237" t="str">
        <f>BIN2HEX(RIGHT((LEFT(Z1087,24)),4))</f>
        <v>0</v>
      </c>
    </row>
    <row r="1094" spans="2:26">
      <c r="Z1094" s="237" t="str">
        <f>BIN2HEX(RIGHT((LEFT(Z1087,28)),4))</f>
        <v>F</v>
      </c>
    </row>
    <row r="1095" spans="2:26">
      <c r="K1095" s="237"/>
      <c r="Z1095" s="237" t="str">
        <f>BIN2HEX(RIGHT((LEFT(Z1087,33)),4))</f>
        <v>0</v>
      </c>
    </row>
    <row r="1097" spans="2:26">
      <c r="Z1097" s="248" t="s">
        <v>807</v>
      </c>
    </row>
    <row r="1098" spans="2:26" ht="13.5" thickBot="1">
      <c r="Z1098" s="237" t="str">
        <f>CONCATENATE(C1103,D1103)</f>
        <v>00000000000000100000100011010110</v>
      </c>
    </row>
    <row r="1099" spans="2:26" ht="13.5" thickBot="1">
      <c r="B1099" s="245" t="s">
        <v>807</v>
      </c>
      <c r="C1099" s="246"/>
      <c r="D1099" s="246"/>
      <c r="E1099" s="276"/>
      <c r="F1099" s="276"/>
      <c r="G1099" s="276"/>
      <c r="H1099" s="276"/>
      <c r="I1099" s="276"/>
      <c r="J1099" s="276"/>
      <c r="K1099" s="276"/>
      <c r="L1099" s="276"/>
      <c r="M1099" s="276"/>
      <c r="N1099" s="276"/>
      <c r="O1099" s="276"/>
      <c r="P1099" s="276"/>
      <c r="Q1099" s="276"/>
      <c r="R1099" s="276"/>
      <c r="S1099" s="276"/>
      <c r="T1099" s="276"/>
      <c r="U1099" s="276"/>
      <c r="V1099" s="276"/>
      <c r="W1099" s="276"/>
      <c r="X1099" s="276"/>
      <c r="Y1099" s="276"/>
      <c r="Z1099" s="237" t="str">
        <f>BIN2HEX(RIGHT((LEFT(Z1098,4)),4))</f>
        <v>0</v>
      </c>
    </row>
    <row r="1100" spans="2:26" ht="13.5" thickTop="1">
      <c r="B1100" s="249"/>
      <c r="C1100" s="268" t="s">
        <v>1110</v>
      </c>
      <c r="D1100" s="251" t="s">
        <v>1111</v>
      </c>
      <c r="E1100" s="271"/>
      <c r="F1100" s="271"/>
      <c r="G1100" s="271"/>
      <c r="H1100" s="271"/>
      <c r="I1100" s="271"/>
      <c r="J1100" s="271"/>
      <c r="K1100" s="271"/>
      <c r="L1100" s="271"/>
      <c r="M1100" s="271"/>
      <c r="N1100" s="271"/>
      <c r="O1100" s="271"/>
      <c r="P1100" s="271"/>
      <c r="Q1100" s="271"/>
      <c r="R1100" s="271"/>
      <c r="S1100" s="271"/>
      <c r="T1100" s="271"/>
      <c r="U1100" s="271"/>
      <c r="V1100" s="271"/>
      <c r="W1100" s="271"/>
      <c r="X1100" s="271"/>
      <c r="Y1100" s="271"/>
      <c r="Z1100" s="237" t="str">
        <f>BIN2HEX(RIGHT((LEFT(Z1098,8)),4))</f>
        <v>0</v>
      </c>
    </row>
    <row r="1101" spans="2:26">
      <c r="B1101" s="255" t="s">
        <v>189</v>
      </c>
      <c r="C1101" s="256">
        <v>13</v>
      </c>
      <c r="D1101" s="257">
        <v>19</v>
      </c>
      <c r="E1101" s="274"/>
      <c r="F1101" s="274"/>
      <c r="G1101" s="274"/>
      <c r="H1101" s="274"/>
      <c r="I1101" s="274"/>
      <c r="J1101" s="274"/>
      <c r="K1101" s="274"/>
      <c r="L1101" s="274"/>
      <c r="M1101" s="274"/>
      <c r="N1101" s="274"/>
      <c r="O1101" s="274"/>
      <c r="P1101" s="274"/>
      <c r="Q1101" s="274"/>
      <c r="R1101" s="274"/>
      <c r="S1101" s="274"/>
      <c r="T1101" s="274"/>
      <c r="U1101" s="274"/>
      <c r="V1101" s="274"/>
      <c r="W1101" s="274"/>
      <c r="X1101" s="274"/>
      <c r="Y1101" s="274"/>
      <c r="Z1101" s="237" t="str">
        <f>BIN2HEX(RIGHT((LEFT(Z1098,12)),4))</f>
        <v>0</v>
      </c>
    </row>
    <row r="1102" spans="2:26">
      <c r="B1102" s="262" t="s">
        <v>16</v>
      </c>
      <c r="C1102" s="263">
        <v>0</v>
      </c>
      <c r="D1102" s="259" t="str">
        <f>DEC2HEX(CEILING(200000/tCK,1),5)</f>
        <v>208D6</v>
      </c>
      <c r="E1102" s="261"/>
      <c r="F1102" s="261"/>
      <c r="G1102" s="261"/>
      <c r="H1102" s="261"/>
      <c r="I1102" s="261"/>
      <c r="J1102" s="261"/>
      <c r="K1102" s="261"/>
      <c r="L1102" s="261"/>
      <c r="M1102" s="261"/>
      <c r="N1102" s="261"/>
      <c r="O1102" s="261"/>
      <c r="P1102" s="261"/>
      <c r="Q1102" s="261"/>
      <c r="R1102" s="261"/>
      <c r="S1102" s="261"/>
      <c r="T1102" s="261"/>
      <c r="U1102" s="261"/>
      <c r="V1102" s="261"/>
      <c r="W1102" s="261"/>
      <c r="X1102" s="261"/>
      <c r="Y1102" s="261"/>
      <c r="Z1102" s="237" t="str">
        <f>BIN2HEX(RIGHT((LEFT(Z1098,16)),4))</f>
        <v>2</v>
      </c>
    </row>
    <row r="1103" spans="2:26" ht="13.5" thickBot="1">
      <c r="B1103" s="264" t="s">
        <v>17</v>
      </c>
      <c r="C1103" s="277" t="s">
        <v>408</v>
      </c>
      <c r="D1103" s="265" t="str">
        <f>CONCATENATE(HEX2BIN(LEFT(RIGHT(D1102,5),1),3),HEX2BIN(LEFT(RIGHT(D1102,4),2),8),HEX2BIN(LEFT(RIGHT(D1102,2),2),8))</f>
        <v>0100000100011010110</v>
      </c>
      <c r="E1103" s="261"/>
      <c r="F1103" s="261"/>
      <c r="G1103" s="261"/>
      <c r="H1103" s="261"/>
      <c r="I1103" s="261"/>
      <c r="J1103" s="261"/>
      <c r="K1103" s="261"/>
      <c r="L1103" s="261"/>
      <c r="M1103" s="261"/>
      <c r="N1103" s="261"/>
      <c r="O1103" s="261"/>
      <c r="P1103" s="261"/>
      <c r="Q1103" s="261"/>
      <c r="R1103" s="261"/>
      <c r="S1103" s="261"/>
      <c r="T1103" s="261"/>
      <c r="U1103" s="261"/>
      <c r="V1103" s="261"/>
      <c r="W1103" s="261"/>
      <c r="X1103" s="261"/>
      <c r="Y1103" s="261"/>
      <c r="Z1103" s="237" t="str">
        <f>BIN2HEX(RIGHT((LEFT(Z1098,20)),4))</f>
        <v>0</v>
      </c>
    </row>
    <row r="1104" spans="2:26" ht="13.5" thickBot="1">
      <c r="B1104" s="266" t="s">
        <v>18</v>
      </c>
      <c r="C1104" s="267" t="str">
        <f>CONCATENATE("0x",Z1099,Z1100,Z1101,Z1102,Z1103,Z1104,Z1105,Z1106)</f>
        <v>0x000208D6</v>
      </c>
      <c r="Z1104" s="237" t="str">
        <f>BIN2HEX(RIGHT((LEFT(Z1098,24)),4))</f>
        <v>8</v>
      </c>
    </row>
    <row r="1105" spans="2:26">
      <c r="Z1105" s="237" t="str">
        <f>BIN2HEX(RIGHT((LEFT(Z1098,28)),4))</f>
        <v>D</v>
      </c>
    </row>
    <row r="1106" spans="2:26">
      <c r="K1106" s="237"/>
      <c r="Z1106" s="237" t="str">
        <f>BIN2HEX(RIGHT((LEFT(Z1098,33)),4))</f>
        <v>6</v>
      </c>
    </row>
    <row r="1107" spans="2:26">
      <c r="Z1107" s="248" t="s">
        <v>808</v>
      </c>
    </row>
    <row r="1108" spans="2:26" ht="13.5" thickBot="1">
      <c r="Z1108" s="237" t="str">
        <f>CONCATENATE(C1113,D1113,E1113,F1113)</f>
        <v>00000100000000000000001010011011</v>
      </c>
    </row>
    <row r="1109" spans="2:26" ht="13.5" thickBot="1">
      <c r="B1109" s="245" t="s">
        <v>808</v>
      </c>
      <c r="C1109" s="246"/>
      <c r="D1109" s="246"/>
      <c r="E1109" s="246"/>
      <c r="F1109" s="246"/>
      <c r="G1109" s="276"/>
      <c r="H1109" s="276"/>
      <c r="I1109" s="276"/>
      <c r="J1109" s="276"/>
      <c r="K1109" s="276"/>
      <c r="L1109" s="276"/>
      <c r="M1109" s="276"/>
      <c r="N1109" s="276"/>
      <c r="O1109" s="276"/>
      <c r="P1109" s="276"/>
      <c r="Q1109" s="276"/>
      <c r="R1109" s="276"/>
      <c r="S1109" s="276"/>
      <c r="T1109" s="276"/>
      <c r="U1109" s="276"/>
      <c r="V1109" s="276"/>
      <c r="W1109" s="276"/>
      <c r="X1109" s="276"/>
      <c r="Y1109" s="276"/>
      <c r="Z1109" s="237" t="str">
        <f>BIN2HEX(RIGHT((LEFT(Z1108,4)),4))</f>
        <v>0</v>
      </c>
    </row>
    <row r="1110" spans="2:26" ht="13.5" thickTop="1">
      <c r="B1110" s="249"/>
      <c r="C1110" s="268" t="s">
        <v>507</v>
      </c>
      <c r="D1110" s="251" t="s">
        <v>1114</v>
      </c>
      <c r="E1110" s="268" t="s">
        <v>1113</v>
      </c>
      <c r="F1110" s="251" t="s">
        <v>1112</v>
      </c>
      <c r="G1110" s="271"/>
      <c r="H1110" s="271"/>
      <c r="I1110" s="271"/>
      <c r="J1110" s="271"/>
      <c r="K1110" s="271"/>
      <c r="L1110" s="271"/>
      <c r="M1110" s="271"/>
      <c r="N1110" s="271"/>
      <c r="O1110" s="271"/>
      <c r="P1110" s="271"/>
      <c r="Q1110" s="271"/>
      <c r="R1110" s="271"/>
      <c r="S1110" s="271"/>
      <c r="T1110" s="271"/>
      <c r="U1110" s="271"/>
      <c r="V1110" s="271"/>
      <c r="W1110" s="271"/>
      <c r="X1110" s="271"/>
      <c r="Y1110" s="271"/>
      <c r="Z1110" s="237" t="str">
        <f>BIN2HEX(RIGHT((LEFT(Z1108,8)),4))</f>
        <v>4</v>
      </c>
    </row>
    <row r="1111" spans="2:26">
      <c r="B1111" s="255" t="s">
        <v>189</v>
      </c>
      <c r="C1111" s="256">
        <v>5</v>
      </c>
      <c r="D1111" s="257">
        <v>7</v>
      </c>
      <c r="E1111" s="256">
        <v>8</v>
      </c>
      <c r="F1111" s="257">
        <v>12</v>
      </c>
      <c r="G1111" s="274"/>
      <c r="H1111" s="274"/>
      <c r="I1111" s="274"/>
      <c r="J1111" s="274"/>
      <c r="K1111" s="274"/>
      <c r="L1111" s="274"/>
      <c r="M1111" s="274"/>
      <c r="N1111" s="274"/>
      <c r="O1111" s="274"/>
      <c r="P1111" s="274"/>
      <c r="Q1111" s="274"/>
      <c r="R1111" s="274"/>
      <c r="S1111" s="274"/>
      <c r="T1111" s="274"/>
      <c r="U1111" s="274"/>
      <c r="V1111" s="274"/>
      <c r="W1111" s="274"/>
      <c r="X1111" s="274"/>
      <c r="Y1111" s="274"/>
      <c r="Z1111" s="237" t="str">
        <f>BIN2HEX(RIGHT((LEFT(Z1108,12)),4))</f>
        <v>0</v>
      </c>
    </row>
    <row r="1112" spans="2:26">
      <c r="B1112" s="262" t="s">
        <v>16</v>
      </c>
      <c r="C1112" s="263">
        <v>0</v>
      </c>
      <c r="D1112" s="259">
        <f>IF(Memory_Type="LPDDR4",DEC2HEX(CEILING(tZQLAT/tCK,1)+3),40)</f>
        <v>40</v>
      </c>
      <c r="E1112" s="263">
        <v>0</v>
      </c>
      <c r="F1112" s="259" t="str">
        <f>DEC2HEX(CEILING(1000/tCK,1),3)</f>
        <v>29B</v>
      </c>
      <c r="G1112" s="261"/>
      <c r="H1112" s="261"/>
      <c r="I1112" s="261"/>
      <c r="J1112" s="261"/>
      <c r="K1112" s="261"/>
      <c r="L1112" s="261"/>
      <c r="M1112" s="261"/>
      <c r="N1112" s="261"/>
      <c r="O1112" s="261"/>
      <c r="P1112" s="261"/>
      <c r="Q1112" s="261"/>
      <c r="R1112" s="261"/>
      <c r="S1112" s="261"/>
      <c r="T1112" s="261"/>
      <c r="U1112" s="261"/>
      <c r="V1112" s="261"/>
      <c r="W1112" s="261"/>
      <c r="X1112" s="261"/>
      <c r="Y1112" s="261"/>
      <c r="Z1112" s="237" t="str">
        <f>BIN2HEX(RIGHT((LEFT(Z1108,16)),4))</f>
        <v>0</v>
      </c>
    </row>
    <row r="1113" spans="2:26" ht="13.5" thickBot="1">
      <c r="B1113" s="264" t="s">
        <v>17</v>
      </c>
      <c r="C1113" s="265" t="str">
        <f>HEX2BIN(C1112,C1111)</f>
        <v>00000</v>
      </c>
      <c r="D1113" s="265" t="str">
        <f>HEX2BIN(D1112,D1111)</f>
        <v>1000000</v>
      </c>
      <c r="E1113" s="265" t="str">
        <f>HEX2BIN(E1112,E1111)</f>
        <v>00000000</v>
      </c>
      <c r="F1113" s="265" t="str">
        <f>CONCATENATE(HEX2BIN(LEFT(RIGHT(F1112,3),1),4),HEX2BIN(LEFT(RIGHT(F1112,2),2),8))</f>
        <v>001010011011</v>
      </c>
      <c r="G1113" s="261"/>
      <c r="H1113" s="261"/>
      <c r="I1113" s="261"/>
      <c r="J1113" s="261"/>
      <c r="K1113" s="261"/>
      <c r="L1113" s="261"/>
      <c r="M1113" s="261"/>
      <c r="N1113" s="261"/>
      <c r="O1113" s="261"/>
      <c r="P1113" s="261"/>
      <c r="Q1113" s="261"/>
      <c r="R1113" s="261"/>
      <c r="S1113" s="261"/>
      <c r="T1113" s="261"/>
      <c r="U1113" s="261"/>
      <c r="V1113" s="261"/>
      <c r="W1113" s="261"/>
      <c r="X1113" s="261"/>
      <c r="Y1113" s="261"/>
      <c r="Z1113" s="237" t="str">
        <f>BIN2HEX(RIGHT((LEFT(Z1108,20)),4))</f>
        <v>0</v>
      </c>
    </row>
    <row r="1114" spans="2:26" ht="13.5" thickBot="1">
      <c r="B1114" s="266" t="s">
        <v>18</v>
      </c>
      <c r="C1114" s="267" t="str">
        <f>CONCATENATE("0x",Z1109,Z1110,Z1111,Z1112,Z1113,Z1114,Z1115,Z1116)</f>
        <v>0x0400029B</v>
      </c>
      <c r="Z1114" s="237" t="str">
        <f>BIN2HEX(RIGHT((LEFT(Z1108,24)),4))</f>
        <v>2</v>
      </c>
    </row>
    <row r="1115" spans="2:26">
      <c r="Z1115" s="237" t="str">
        <f>BIN2HEX(RIGHT((LEFT(Z1108,28)),4))</f>
        <v>9</v>
      </c>
    </row>
    <row r="1116" spans="2:26">
      <c r="K1116" s="237"/>
      <c r="Z1116" s="237" t="str">
        <f>BIN2HEX(RIGHT((LEFT(Z1108,33)),4))</f>
        <v>B</v>
      </c>
    </row>
    <row r="1117" spans="2:26">
      <c r="Z1117" s="248" t="s">
        <v>812</v>
      </c>
    </row>
    <row r="1118" spans="2:26" ht="13.5" thickBot="1">
      <c r="Z1118" s="237" t="str">
        <f>CONCATENATE(C1123,D1123,E1123,F1123,G1123,H1123,I1123,J1123,K1123,L1123,M1123,N1123)</f>
        <v>01000000000000000000010000001100</v>
      </c>
    </row>
    <row r="1119" spans="2:26" ht="13.5" thickBot="1">
      <c r="B1119" s="245" t="s">
        <v>812</v>
      </c>
      <c r="C1119" s="246"/>
      <c r="D1119" s="246"/>
      <c r="E1119" s="246"/>
      <c r="F1119" s="246"/>
      <c r="G1119" s="246"/>
      <c r="H1119" s="246"/>
      <c r="I1119" s="246"/>
      <c r="J1119" s="246"/>
      <c r="K1119" s="246"/>
      <c r="L1119" s="246"/>
      <c r="M1119" s="246"/>
      <c r="N1119" s="246"/>
      <c r="O1119" s="276"/>
      <c r="P1119" s="276"/>
      <c r="Q1119" s="276"/>
      <c r="R1119" s="276"/>
      <c r="S1119" s="276"/>
      <c r="T1119" s="276"/>
      <c r="U1119" s="276"/>
      <c r="V1119" s="276"/>
      <c r="W1119" s="276"/>
      <c r="X1119" s="276"/>
      <c r="Y1119" s="276"/>
      <c r="Z1119" s="237" t="str">
        <f>BIN2HEX(RIGHT((LEFT(Z1118,4)),4))</f>
        <v>4</v>
      </c>
    </row>
    <row r="1120" spans="2:26" ht="13.5" thickTop="1">
      <c r="B1120" s="249"/>
      <c r="C1120" s="268" t="s">
        <v>1115</v>
      </c>
      <c r="D1120" s="251" t="s">
        <v>1116</v>
      </c>
      <c r="E1120" s="268" t="s">
        <v>1117</v>
      </c>
      <c r="F1120" s="251" t="s">
        <v>1118</v>
      </c>
      <c r="G1120" s="268" t="s">
        <v>1119</v>
      </c>
      <c r="H1120" s="251" t="s">
        <v>1120</v>
      </c>
      <c r="I1120" s="268" t="s">
        <v>1121</v>
      </c>
      <c r="J1120" s="251" t="s">
        <v>1122</v>
      </c>
      <c r="K1120" s="251" t="s">
        <v>1123</v>
      </c>
      <c r="L1120" s="251" t="s">
        <v>1124</v>
      </c>
      <c r="M1120" s="251" t="s">
        <v>1125</v>
      </c>
      <c r="N1120" s="251" t="s">
        <v>1126</v>
      </c>
      <c r="O1120" s="271"/>
      <c r="P1120" s="271"/>
      <c r="Q1120" s="271"/>
      <c r="R1120" s="271"/>
      <c r="S1120" s="271"/>
      <c r="T1120" s="271"/>
      <c r="U1120" s="271"/>
      <c r="V1120" s="271"/>
      <c r="W1120" s="271"/>
      <c r="X1120" s="271"/>
      <c r="Y1120" s="271"/>
      <c r="Z1120" s="237" t="str">
        <f>BIN2HEX(RIGHT((LEFT(Z1118,8)),4))</f>
        <v>0</v>
      </c>
    </row>
    <row r="1121" spans="2:26">
      <c r="B1121" s="255" t="s">
        <v>189</v>
      </c>
      <c r="C1121" s="256">
        <v>1</v>
      </c>
      <c r="D1121" s="257">
        <v>1</v>
      </c>
      <c r="E1121" s="256">
        <v>1</v>
      </c>
      <c r="F1121" s="257">
        <v>1</v>
      </c>
      <c r="G1121" s="256">
        <v>1</v>
      </c>
      <c r="H1121" s="257">
        <v>9</v>
      </c>
      <c r="I1121" s="256">
        <v>8</v>
      </c>
      <c r="J1121" s="257">
        <v>2</v>
      </c>
      <c r="K1121" s="257">
        <v>1</v>
      </c>
      <c r="L1121" s="257">
        <v>3</v>
      </c>
      <c r="M1121" s="257">
        <v>1</v>
      </c>
      <c r="N1121" s="257">
        <v>3</v>
      </c>
      <c r="O1121" s="274"/>
      <c r="P1121" s="274"/>
      <c r="Q1121" s="274"/>
      <c r="R1121" s="274"/>
      <c r="S1121" s="274"/>
      <c r="T1121" s="274"/>
      <c r="U1121" s="274"/>
      <c r="V1121" s="274"/>
      <c r="W1121" s="274"/>
      <c r="X1121" s="274"/>
      <c r="Y1121" s="274"/>
      <c r="Z1121" s="237" t="str">
        <f>BIN2HEX(RIGHT((LEFT(Z1118,12)),4))</f>
        <v>0</v>
      </c>
    </row>
    <row r="1122" spans="2:26">
      <c r="B1122" s="262" t="s">
        <v>16</v>
      </c>
      <c r="C1122" s="263">
        <v>0</v>
      </c>
      <c r="D1122" s="259">
        <f>(IF(Memory_Type="DDR4",IF(Total_number_of_banks=16,0,1),0))</f>
        <v>1</v>
      </c>
      <c r="E1122" s="263">
        <v>0</v>
      </c>
      <c r="F1122" s="259">
        <v>0</v>
      </c>
      <c r="G1122" s="263">
        <v>0</v>
      </c>
      <c r="H1122" s="259">
        <v>0</v>
      </c>
      <c r="I1122" s="263">
        <v>1</v>
      </c>
      <c r="J1122" s="259">
        <v>0</v>
      </c>
      <c r="K1122" s="259">
        <v>0</v>
      </c>
      <c r="L1122" s="259">
        <v>0</v>
      </c>
      <c r="M1122" s="259">
        <v>1</v>
      </c>
      <c r="N1122" s="259">
        <f>IF(Memory_Type="DDR4",4,IF(Memory_Type="DDR3L",3,5))</f>
        <v>4</v>
      </c>
      <c r="O1122" s="261"/>
      <c r="P1122" s="261"/>
      <c r="Q1122" s="261"/>
      <c r="R1122" s="261"/>
      <c r="S1122" s="261"/>
      <c r="T1122" s="261"/>
      <c r="U1122" s="261"/>
      <c r="V1122" s="261"/>
      <c r="W1122" s="261"/>
      <c r="X1122" s="261"/>
      <c r="Y1122" s="261"/>
      <c r="Z1122" s="237" t="str">
        <f>BIN2HEX(RIGHT((LEFT(Z1118,16)),4))</f>
        <v>0</v>
      </c>
    </row>
    <row r="1123" spans="2:26" ht="13.5" thickBot="1">
      <c r="B1123" s="264" t="s">
        <v>17</v>
      </c>
      <c r="C1123" s="265" t="str">
        <f t="shared" ref="C1123:N1123" si="56">HEX2BIN(C1122,C1121)</f>
        <v>0</v>
      </c>
      <c r="D1123" s="265" t="str">
        <f t="shared" si="56"/>
        <v>1</v>
      </c>
      <c r="E1123" s="265" t="str">
        <f t="shared" si="56"/>
        <v>0</v>
      </c>
      <c r="F1123" s="265" t="str">
        <f t="shared" si="56"/>
        <v>0</v>
      </c>
      <c r="G1123" s="265" t="str">
        <f t="shared" si="56"/>
        <v>0</v>
      </c>
      <c r="H1123" s="265" t="str">
        <f t="shared" si="56"/>
        <v>000000000</v>
      </c>
      <c r="I1123" s="265" t="str">
        <f t="shared" si="56"/>
        <v>00000001</v>
      </c>
      <c r="J1123" s="265" t="str">
        <f t="shared" si="56"/>
        <v>00</v>
      </c>
      <c r="K1123" s="265" t="str">
        <f t="shared" si="56"/>
        <v>0</v>
      </c>
      <c r="L1123" s="265" t="str">
        <f t="shared" si="56"/>
        <v>000</v>
      </c>
      <c r="M1123" s="265" t="str">
        <f t="shared" si="56"/>
        <v>1</v>
      </c>
      <c r="N1123" s="265" t="str">
        <f t="shared" si="56"/>
        <v>100</v>
      </c>
      <c r="O1123" s="261"/>
      <c r="P1123" s="261"/>
      <c r="Q1123" s="261"/>
      <c r="R1123" s="261"/>
      <c r="S1123" s="261"/>
      <c r="T1123" s="261"/>
      <c r="U1123" s="261"/>
      <c r="V1123" s="261"/>
      <c r="W1123" s="261"/>
      <c r="X1123" s="261"/>
      <c r="Y1123" s="261"/>
      <c r="Z1123" s="237" t="str">
        <f>BIN2HEX(RIGHT((LEFT(Z1118,20)),4))</f>
        <v>0</v>
      </c>
    </row>
    <row r="1124" spans="2:26" ht="13.5" thickBot="1">
      <c r="B1124" s="266" t="s">
        <v>18</v>
      </c>
      <c r="C1124" s="267" t="str">
        <f>CONCATENATE("0x",Z1119,Z1120,Z1121,Z1122,Z1123,Z1124,Z1125,Z1126)</f>
        <v>0x4000040C</v>
      </c>
      <c r="Z1124" s="237" t="str">
        <f>BIN2HEX(RIGHT((LEFT(Z1118,24)),4))</f>
        <v>4</v>
      </c>
    </row>
    <row r="1125" spans="2:26">
      <c r="Z1125" s="237" t="str">
        <f>BIN2HEX(RIGHT((LEFT(Z1118,28)),4))</f>
        <v>0</v>
      </c>
    </row>
    <row r="1126" spans="2:26">
      <c r="K1126" s="237"/>
      <c r="Z1126" s="237" t="str">
        <f>BIN2HEX(RIGHT((LEFT(Z1118,33)),4))</f>
        <v>C</v>
      </c>
    </row>
    <row r="1127" spans="2:26">
      <c r="Z1127" s="248" t="s">
        <v>2337</v>
      </c>
    </row>
    <row r="1128" spans="2:26" ht="13.5" thickBot="1">
      <c r="Z1128" s="237" t="str">
        <f>CONCATENATE(C1133,D1133,E1133,F1133,G1133,H1133,I1133,J1133)</f>
        <v>11110000000001110000</v>
      </c>
    </row>
    <row r="1129" spans="2:26" ht="13.5" thickBot="1">
      <c r="B1129" s="245" t="s">
        <v>2337</v>
      </c>
      <c r="C1129" s="246"/>
      <c r="D1129" s="246"/>
      <c r="E1129" s="246"/>
      <c r="F1129" s="246"/>
      <c r="G1129" s="246"/>
      <c r="H1129" s="246"/>
      <c r="I1129" s="246"/>
      <c r="J1129" s="246"/>
      <c r="K1129" s="246"/>
      <c r="L1129" s="246"/>
      <c r="M1129" s="246"/>
      <c r="N1129" s="246"/>
      <c r="O1129" s="246"/>
      <c r="P1129" s="246"/>
      <c r="Q1129" s="276"/>
      <c r="R1129" s="276"/>
      <c r="S1129" s="276"/>
      <c r="T1129" s="276"/>
      <c r="U1129" s="276"/>
      <c r="V1129" s="276"/>
      <c r="W1129" s="276"/>
      <c r="X1129" s="276"/>
      <c r="Y1129" s="276"/>
      <c r="Z1129" s="237" t="str">
        <f>BIN2HEX(RIGHT((LEFT(Z1128,4)),4))</f>
        <v>F</v>
      </c>
    </row>
    <row r="1130" spans="2:26" ht="13.5" thickTop="1">
      <c r="B1130" s="249"/>
      <c r="C1130" s="268" t="s">
        <v>2338</v>
      </c>
      <c r="D1130" s="251" t="s">
        <v>2339</v>
      </c>
      <c r="E1130" s="268" t="s">
        <v>2340</v>
      </c>
      <c r="F1130" s="251" t="s">
        <v>2341</v>
      </c>
      <c r="G1130" s="251" t="s">
        <v>2349</v>
      </c>
      <c r="H1130" s="251" t="s">
        <v>339</v>
      </c>
      <c r="I1130" s="251" t="s">
        <v>2342</v>
      </c>
      <c r="J1130" s="251" t="s">
        <v>219</v>
      </c>
      <c r="K1130" s="251" t="s">
        <v>2343</v>
      </c>
      <c r="L1130" s="251" t="s">
        <v>2344</v>
      </c>
      <c r="M1130" s="251" t="s">
        <v>2348</v>
      </c>
      <c r="N1130" s="251" t="s">
        <v>2346</v>
      </c>
      <c r="O1130" s="251" t="s">
        <v>2347</v>
      </c>
      <c r="P1130" s="251" t="s">
        <v>2345</v>
      </c>
      <c r="Q1130" s="271"/>
      <c r="R1130" s="271"/>
      <c r="S1130" s="271"/>
      <c r="T1130" s="271"/>
      <c r="U1130" s="271"/>
      <c r="V1130" s="271"/>
      <c r="W1130" s="271"/>
      <c r="X1130" s="271"/>
      <c r="Y1130" s="271"/>
      <c r="Z1130" s="237" t="str">
        <f>BIN2HEX(RIGHT((LEFT(Z1128,8)),4))</f>
        <v>0</v>
      </c>
    </row>
    <row r="1131" spans="2:26">
      <c r="B1131" s="255" t="s">
        <v>189</v>
      </c>
      <c r="C1131" s="256">
        <v>2</v>
      </c>
      <c r="D1131" s="257">
        <v>1</v>
      </c>
      <c r="E1131" s="256">
        <v>1</v>
      </c>
      <c r="F1131" s="257">
        <v>1</v>
      </c>
      <c r="G1131" s="256">
        <v>1</v>
      </c>
      <c r="H1131" s="257">
        <v>2</v>
      </c>
      <c r="I1131" s="256">
        <v>8</v>
      </c>
      <c r="J1131" s="256">
        <v>4</v>
      </c>
      <c r="K1131" s="256">
        <v>2</v>
      </c>
      <c r="L1131" s="257">
        <v>4</v>
      </c>
      <c r="M1131" s="256">
        <v>2</v>
      </c>
      <c r="N1131" s="256">
        <v>2</v>
      </c>
      <c r="O1131" s="256">
        <v>1</v>
      </c>
      <c r="P1131" s="256">
        <v>1</v>
      </c>
      <c r="Q1131" s="274"/>
      <c r="R1131" s="274"/>
      <c r="S1131" s="274"/>
      <c r="T1131" s="274"/>
      <c r="U1131" s="274"/>
      <c r="V1131" s="274"/>
      <c r="W1131" s="274"/>
      <c r="X1131" s="274"/>
      <c r="Y1131" s="274"/>
      <c r="Z1131" s="237" t="str">
        <f>BIN2HEX(RIGHT((LEFT(Z1128,12)),4))</f>
        <v>0</v>
      </c>
    </row>
    <row r="1132" spans="2:26" ht="13.5" thickBot="1">
      <c r="B1132" s="262" t="s">
        <v>16</v>
      </c>
      <c r="C1132" s="263">
        <f>IF(AM65x_AC_Slew="Slow_Mode",0,IF(AM65x_AC_Slew="Medium_Slow_Mode",1,IF(AM65x_AC_Slew="Medium_Fast_Mode",2,IF(AM65x_AC_Slew="Fast_Mode",3,"ERROR"))))</f>
        <v>3</v>
      </c>
      <c r="D1132" s="265">
        <v>1</v>
      </c>
      <c r="E1132" s="265">
        <v>1</v>
      </c>
      <c r="F1132" s="259">
        <v>0</v>
      </c>
      <c r="G1132" s="263">
        <v>0</v>
      </c>
      <c r="H1132" s="259">
        <v>0</v>
      </c>
      <c r="I1132" s="263">
        <v>7</v>
      </c>
      <c r="J1132" s="263">
        <v>0</v>
      </c>
      <c r="K1132" s="263">
        <v>0</v>
      </c>
      <c r="L1132" s="259">
        <v>0</v>
      </c>
      <c r="M1132" s="263">
        <v>0</v>
      </c>
      <c r="N1132" s="263">
        <v>0</v>
      </c>
      <c r="O1132" s="263">
        <v>0</v>
      </c>
      <c r="P1132" s="263">
        <v>0</v>
      </c>
      <c r="Q1132" s="261"/>
      <c r="R1132" s="261"/>
      <c r="S1132" s="261"/>
      <c r="T1132" s="261"/>
      <c r="U1132" s="261"/>
      <c r="V1132" s="261"/>
      <c r="W1132" s="261"/>
      <c r="X1132" s="261"/>
      <c r="Y1132" s="261"/>
      <c r="Z1132" s="237" t="str">
        <f>BIN2HEX(RIGHT((LEFT(Z1128,16)),4))</f>
        <v>7</v>
      </c>
    </row>
    <row r="1133" spans="2:26" ht="13.5" thickBot="1">
      <c r="B1133" s="264" t="s">
        <v>17</v>
      </c>
      <c r="C1133" s="265" t="str">
        <f t="shared" ref="C1133:J1133" si="57">HEX2BIN(C1132,C1131)</f>
        <v>11</v>
      </c>
      <c r="D1133" s="265" t="str">
        <f t="shared" si="57"/>
        <v>1</v>
      </c>
      <c r="E1133" s="265" t="str">
        <f t="shared" si="57"/>
        <v>1</v>
      </c>
      <c r="F1133" s="265" t="str">
        <f t="shared" si="57"/>
        <v>0</v>
      </c>
      <c r="G1133" s="265" t="str">
        <f t="shared" si="57"/>
        <v>0</v>
      </c>
      <c r="H1133" s="265" t="str">
        <f t="shared" si="57"/>
        <v>00</v>
      </c>
      <c r="I1133" s="265" t="str">
        <f t="shared" si="57"/>
        <v>00000111</v>
      </c>
      <c r="J1133" s="265" t="str">
        <f t="shared" si="57"/>
        <v>0000</v>
      </c>
      <c r="K1133" s="265" t="str">
        <f t="shared" ref="K1133:N1133" si="58">HEX2BIN(K1132,K1131)</f>
        <v>00</v>
      </c>
      <c r="L1133" s="265" t="str">
        <f t="shared" si="58"/>
        <v>0000</v>
      </c>
      <c r="M1133" s="265" t="str">
        <f t="shared" si="58"/>
        <v>00</v>
      </c>
      <c r="N1133" s="265" t="str">
        <f t="shared" si="58"/>
        <v>00</v>
      </c>
      <c r="O1133" s="265" t="str">
        <f t="shared" ref="O1133:P1133" si="59">HEX2BIN(O1132,O1131)</f>
        <v>0</v>
      </c>
      <c r="P1133" s="265" t="str">
        <f t="shared" si="59"/>
        <v>0</v>
      </c>
      <c r="Q1133" s="261"/>
      <c r="R1133" s="261"/>
      <c r="S1133" s="261"/>
      <c r="T1133" s="261"/>
      <c r="U1133" s="261"/>
      <c r="V1133" s="261"/>
      <c r="W1133" s="261"/>
      <c r="X1133" s="261"/>
      <c r="Y1133" s="261"/>
      <c r="Z1133" s="237" t="str">
        <f>BIN2HEX(RIGHT((LEFT(Z1128,20)),4))</f>
        <v>0</v>
      </c>
    </row>
    <row r="1134" spans="2:26" ht="13.5" thickBot="1">
      <c r="B1134" s="266" t="s">
        <v>18</v>
      </c>
      <c r="C1134" s="267" t="str">
        <f>CONCATENATE("0x",Z1129,Z1130,Z1131,Z1132,Z1133,Z1134,Z1135,Z1136)</f>
        <v>0xF0070000</v>
      </c>
      <c r="Z1134" s="237" t="str">
        <f>BIN2HEX(RIGHT((LEFT(Z1128,24)),4))</f>
        <v>0</v>
      </c>
    </row>
    <row r="1135" spans="2:26">
      <c r="Z1135" s="237" t="str">
        <f>BIN2HEX(RIGHT((LEFT(Z1128,28)),4))</f>
        <v>0</v>
      </c>
    </row>
    <row r="1136" spans="2:26">
      <c r="K1136" s="237"/>
      <c r="Z1136" s="237" t="str">
        <f>BIN2HEX(RIGHT((LEFT(Z1128,33)),4))</f>
        <v>0</v>
      </c>
    </row>
    <row r="1137" spans="2:26">
      <c r="Z1137" s="248" t="s">
        <v>1485</v>
      </c>
    </row>
    <row r="1138" spans="2:26" ht="13.5" thickBot="1">
      <c r="Z1138" s="237" t="str">
        <f>CONCATENATE(C1143,D1143,E1143,F1143,G1143,H1143,I1143,J1143)</f>
        <v>00100000000000000000000000000001</v>
      </c>
    </row>
    <row r="1139" spans="2:26" ht="13.5" thickBot="1">
      <c r="B1139" s="245" t="s">
        <v>1485</v>
      </c>
      <c r="C1139" s="246"/>
      <c r="D1139" s="246"/>
      <c r="E1139" s="246"/>
      <c r="F1139" s="246"/>
      <c r="G1139" s="246"/>
      <c r="H1139" s="246"/>
      <c r="I1139" s="246"/>
      <c r="J1139" s="246"/>
      <c r="K1139" s="276"/>
      <c r="L1139" s="276"/>
      <c r="M1139" s="276"/>
      <c r="N1139" s="276"/>
      <c r="O1139" s="276"/>
      <c r="P1139" s="276"/>
      <c r="Q1139" s="276"/>
      <c r="R1139" s="276"/>
      <c r="S1139" s="276"/>
      <c r="T1139" s="276"/>
      <c r="U1139" s="276"/>
      <c r="V1139" s="276"/>
      <c r="W1139" s="276"/>
      <c r="X1139" s="276"/>
      <c r="Y1139" s="276"/>
      <c r="Z1139" s="237" t="str">
        <f>BIN2HEX(RIGHT((LEFT(Z1138,4)),4))</f>
        <v>2</v>
      </c>
    </row>
    <row r="1140" spans="2:26" ht="13.5" thickTop="1">
      <c r="B1140" s="249"/>
      <c r="C1140" s="268" t="s">
        <v>1486</v>
      </c>
      <c r="D1140" s="251" t="s">
        <v>1487</v>
      </c>
      <c r="E1140" s="268" t="s">
        <v>1488</v>
      </c>
      <c r="F1140" s="251" t="s">
        <v>1489</v>
      </c>
      <c r="G1140" s="251" t="s">
        <v>1490</v>
      </c>
      <c r="H1140" s="251" t="s">
        <v>1491</v>
      </c>
      <c r="I1140" s="251" t="s">
        <v>1492</v>
      </c>
      <c r="J1140" s="251" t="s">
        <v>1493</v>
      </c>
      <c r="K1140" s="254"/>
      <c r="L1140" s="254"/>
      <c r="M1140" s="254"/>
      <c r="N1140" s="254"/>
      <c r="O1140" s="271"/>
      <c r="P1140" s="271"/>
      <c r="Q1140" s="271"/>
      <c r="R1140" s="271"/>
      <c r="S1140" s="271"/>
      <c r="T1140" s="271"/>
      <c r="U1140" s="271"/>
      <c r="V1140" s="271"/>
      <c r="W1140" s="271"/>
      <c r="X1140" s="271"/>
      <c r="Y1140" s="271"/>
      <c r="Z1140" s="237" t="str">
        <f>BIN2HEX(RIGHT((LEFT(Z1138,8)),4))</f>
        <v>0</v>
      </c>
    </row>
    <row r="1141" spans="2:26">
      <c r="B1141" s="255" t="s">
        <v>189</v>
      </c>
      <c r="C1141" s="256">
        <v>2</v>
      </c>
      <c r="D1141" s="257">
        <v>4</v>
      </c>
      <c r="E1141" s="256">
        <v>4</v>
      </c>
      <c r="F1141" s="257">
        <v>2</v>
      </c>
      <c r="G1141" s="256">
        <v>2</v>
      </c>
      <c r="H1141" s="257">
        <v>2</v>
      </c>
      <c r="I1141" s="256">
        <v>8</v>
      </c>
      <c r="J1141" s="256">
        <v>8</v>
      </c>
      <c r="K1141" s="286"/>
      <c r="L1141" s="286"/>
      <c r="M1141" s="286"/>
      <c r="N1141" s="286"/>
      <c r="O1141" s="274"/>
      <c r="P1141" s="274"/>
      <c r="Q1141" s="274"/>
      <c r="R1141" s="274"/>
      <c r="S1141" s="274"/>
      <c r="T1141" s="274"/>
      <c r="U1141" s="274"/>
      <c r="V1141" s="274"/>
      <c r="W1141" s="274"/>
      <c r="X1141" s="274"/>
      <c r="Y1141" s="274"/>
      <c r="Z1141" s="237" t="str">
        <f>BIN2HEX(RIGHT((LEFT(Z1138,12)),4))</f>
        <v>0</v>
      </c>
    </row>
    <row r="1142" spans="2:26" ht="13.5" thickBot="1">
      <c r="B1142" s="262" t="s">
        <v>16</v>
      </c>
      <c r="C1142" s="263">
        <v>0</v>
      </c>
      <c r="D1142" s="265">
        <f>IF(Memory_Type="DDR4",IF(Total_number_of_banks=16,0,8),0)</f>
        <v>8</v>
      </c>
      <c r="E1142" s="265">
        <v>0</v>
      </c>
      <c r="F1142" s="259">
        <v>0</v>
      </c>
      <c r="G1142" s="263">
        <v>0</v>
      </c>
      <c r="H1142" s="259">
        <v>0</v>
      </c>
      <c r="I1142" s="263">
        <v>0</v>
      </c>
      <c r="J1142" s="263">
        <v>1</v>
      </c>
      <c r="K1142" s="261"/>
      <c r="L1142" s="261"/>
      <c r="M1142" s="261"/>
      <c r="N1142" s="261"/>
      <c r="O1142" s="261"/>
      <c r="P1142" s="261"/>
      <c r="Q1142" s="261"/>
      <c r="R1142" s="261"/>
      <c r="S1142" s="261"/>
      <c r="T1142" s="261"/>
      <c r="U1142" s="261"/>
      <c r="V1142" s="261"/>
      <c r="W1142" s="261"/>
      <c r="X1142" s="261"/>
      <c r="Y1142" s="261"/>
      <c r="Z1142" s="237" t="str">
        <f>BIN2HEX(RIGHT((LEFT(Z1138,16)),4))</f>
        <v>0</v>
      </c>
    </row>
    <row r="1143" spans="2:26" ht="13.5" thickBot="1">
      <c r="B1143" s="264" t="s">
        <v>17</v>
      </c>
      <c r="C1143" s="265" t="str">
        <f t="shared" ref="C1143:J1143" si="60">HEX2BIN(C1142,C1141)</f>
        <v>00</v>
      </c>
      <c r="D1143" s="265" t="str">
        <f t="shared" si="60"/>
        <v>1000</v>
      </c>
      <c r="E1143" s="265" t="str">
        <f t="shared" si="60"/>
        <v>0000</v>
      </c>
      <c r="F1143" s="265" t="str">
        <f t="shared" si="60"/>
        <v>00</v>
      </c>
      <c r="G1143" s="265" t="str">
        <f t="shared" si="60"/>
        <v>00</v>
      </c>
      <c r="H1143" s="265" t="str">
        <f t="shared" si="60"/>
        <v>00</v>
      </c>
      <c r="I1143" s="265" t="str">
        <f t="shared" si="60"/>
        <v>00000000</v>
      </c>
      <c r="J1143" s="265" t="str">
        <f t="shared" si="60"/>
        <v>00000001</v>
      </c>
      <c r="K1143" s="261"/>
      <c r="L1143" s="261"/>
      <c r="M1143" s="261"/>
      <c r="N1143" s="261"/>
      <c r="O1143" s="261"/>
      <c r="P1143" s="261"/>
      <c r="Q1143" s="261"/>
      <c r="R1143" s="261"/>
      <c r="S1143" s="261"/>
      <c r="T1143" s="261"/>
      <c r="U1143" s="261"/>
      <c r="V1143" s="261"/>
      <c r="W1143" s="261"/>
      <c r="X1143" s="261"/>
      <c r="Y1143" s="261"/>
      <c r="Z1143" s="237" t="str">
        <f>BIN2HEX(RIGHT((LEFT(Z1138,20)),4))</f>
        <v>0</v>
      </c>
    </row>
    <row r="1144" spans="2:26" ht="13.5" thickBot="1">
      <c r="B1144" s="266" t="s">
        <v>18</v>
      </c>
      <c r="C1144" s="267" t="str">
        <f>CONCATENATE("0x",Z1139,Z1140,Z1141,Z1142,Z1143,Z1144,Z1145,Z1146)</f>
        <v>0x20000001</v>
      </c>
      <c r="Z1144" s="237" t="str">
        <f>BIN2HEX(RIGHT((LEFT(Z1138,24)),4))</f>
        <v>0</v>
      </c>
    </row>
    <row r="1145" spans="2:26">
      <c r="Z1145" s="237" t="str">
        <f>BIN2HEX(RIGHT((LEFT(Z1138,28)),4))</f>
        <v>0</v>
      </c>
    </row>
    <row r="1146" spans="2:26">
      <c r="K1146" s="237"/>
      <c r="Z1146" s="237" t="str">
        <f>BIN2HEX(RIGHT((LEFT(Z1138,33)),4))</f>
        <v>1</v>
      </c>
    </row>
    <row r="1147" spans="2:26">
      <c r="Z1147" s="248" t="s">
        <v>820</v>
      </c>
    </row>
    <row r="1148" spans="2:26" ht="13.5" thickBot="1">
      <c r="Z1148" s="237" t="str">
        <f>CONCATENATE(C1153,D1153,E1153,F1153,G1153)</f>
        <v>00000100100000000000000000000000</v>
      </c>
    </row>
    <row r="1149" spans="2:26" ht="13.5" thickBot="1">
      <c r="B1149" s="245" t="s">
        <v>820</v>
      </c>
      <c r="C1149" s="246"/>
      <c r="D1149" s="246"/>
      <c r="E1149" s="246"/>
      <c r="F1149" s="246"/>
      <c r="G1149" s="246"/>
      <c r="H1149" s="276"/>
      <c r="I1149" s="276"/>
      <c r="J1149" s="276"/>
      <c r="K1149" s="276"/>
      <c r="L1149" s="276"/>
      <c r="M1149" s="276"/>
      <c r="N1149" s="276"/>
      <c r="O1149" s="276"/>
      <c r="P1149" s="276"/>
      <c r="Q1149" s="276"/>
      <c r="R1149" s="276"/>
      <c r="S1149" s="276"/>
      <c r="T1149" s="276"/>
      <c r="U1149" s="276"/>
      <c r="V1149" s="276"/>
      <c r="W1149" s="276"/>
      <c r="X1149" s="276"/>
      <c r="Y1149" s="276"/>
      <c r="Z1149" s="237" t="str">
        <f>BIN2HEX(RIGHT((LEFT(Z1148,4)),4))</f>
        <v>0</v>
      </c>
    </row>
    <row r="1150" spans="2:26" ht="13.5" thickTop="1">
      <c r="B1150" s="249"/>
      <c r="C1150" s="268" t="s">
        <v>89</v>
      </c>
      <c r="D1150" s="251" t="s">
        <v>1160</v>
      </c>
      <c r="E1150" s="268" t="s">
        <v>1161</v>
      </c>
      <c r="F1150" s="251" t="s">
        <v>1162</v>
      </c>
      <c r="G1150" s="268" t="s">
        <v>1163</v>
      </c>
      <c r="H1150" s="254"/>
      <c r="I1150" s="254"/>
      <c r="J1150" s="254"/>
      <c r="K1150" s="254"/>
      <c r="L1150" s="254"/>
      <c r="M1150" s="254"/>
      <c r="N1150" s="254"/>
      <c r="O1150" s="271"/>
      <c r="P1150" s="271"/>
      <c r="Q1150" s="271"/>
      <c r="R1150" s="271"/>
      <c r="S1150" s="271"/>
      <c r="T1150" s="271"/>
      <c r="U1150" s="271"/>
      <c r="V1150" s="271"/>
      <c r="W1150" s="271"/>
      <c r="X1150" s="271"/>
      <c r="Y1150" s="271"/>
      <c r="Z1150" s="237" t="str">
        <f>BIN2HEX(RIGHT((LEFT(Z1148,8)),4))</f>
        <v>4</v>
      </c>
    </row>
    <row r="1151" spans="2:26">
      <c r="B1151" s="255" t="s">
        <v>189</v>
      </c>
      <c r="C1151" s="256">
        <v>4</v>
      </c>
      <c r="D1151" s="257">
        <v>3</v>
      </c>
      <c r="E1151" s="256">
        <v>3</v>
      </c>
      <c r="F1151" s="257">
        <v>11</v>
      </c>
      <c r="G1151" s="256">
        <v>11</v>
      </c>
      <c r="H1151" s="286"/>
      <c r="I1151" s="286"/>
      <c r="J1151" s="286"/>
      <c r="K1151" s="286"/>
      <c r="L1151" s="286"/>
      <c r="M1151" s="286"/>
      <c r="N1151" s="286"/>
      <c r="O1151" s="274"/>
      <c r="P1151" s="274"/>
      <c r="Q1151" s="274"/>
      <c r="R1151" s="274"/>
      <c r="S1151" s="274"/>
      <c r="T1151" s="274"/>
      <c r="U1151" s="274"/>
      <c r="V1151" s="274"/>
      <c r="W1151" s="274"/>
      <c r="X1151" s="274"/>
      <c r="Y1151" s="274"/>
      <c r="Z1151" s="237" t="str">
        <f>BIN2HEX(RIGHT((LEFT(Z1148,12)),4))</f>
        <v>8</v>
      </c>
    </row>
    <row r="1152" spans="2:26" ht="13.5" thickBot="1">
      <c r="B1152" s="262" t="s">
        <v>16</v>
      </c>
      <c r="C1152" s="263">
        <v>0</v>
      </c>
      <c r="D1152" s="265">
        <f>IF(Memory_Type="DDR4",2,IF(Memory_Type="DDR3L",0,4))</f>
        <v>2</v>
      </c>
      <c r="E1152" s="265">
        <f>IF(Memory_Type="DDR4",2,IF(Memory_Type="DDR3L",0,4))</f>
        <v>2</v>
      </c>
      <c r="F1152" s="259">
        <v>0</v>
      </c>
      <c r="G1152" s="263">
        <v>0</v>
      </c>
      <c r="H1152" s="261"/>
      <c r="I1152" s="261"/>
      <c r="J1152" s="261"/>
      <c r="K1152" s="261"/>
      <c r="L1152" s="261"/>
      <c r="M1152" s="261"/>
      <c r="N1152" s="261"/>
      <c r="O1152" s="261"/>
      <c r="P1152" s="261"/>
      <c r="Q1152" s="261"/>
      <c r="R1152" s="261"/>
      <c r="S1152" s="261"/>
      <c r="T1152" s="261"/>
      <c r="U1152" s="261"/>
      <c r="V1152" s="261"/>
      <c r="W1152" s="261"/>
      <c r="X1152" s="261"/>
      <c r="Y1152" s="261"/>
      <c r="Z1152" s="237" t="str">
        <f>BIN2HEX(RIGHT((LEFT(Z1148,16)),4))</f>
        <v>0</v>
      </c>
    </row>
    <row r="1153" spans="2:26" ht="13.5" thickBot="1">
      <c r="B1153" s="264" t="s">
        <v>17</v>
      </c>
      <c r="C1153" s="265" t="str">
        <f>HEX2BIN(C1152,C1151)</f>
        <v>0000</v>
      </c>
      <c r="D1153" s="265" t="str">
        <f>HEX2BIN(D1152,D1151)</f>
        <v>010</v>
      </c>
      <c r="E1153" s="265" t="str">
        <f>HEX2BIN(E1152,E1151)</f>
        <v>010</v>
      </c>
      <c r="F1153" s="277" t="s">
        <v>254</v>
      </c>
      <c r="G1153" s="277" t="s">
        <v>254</v>
      </c>
      <c r="H1153" s="261"/>
      <c r="I1153" s="261"/>
      <c r="J1153" s="261"/>
      <c r="K1153" s="261"/>
      <c r="L1153" s="261"/>
      <c r="M1153" s="261"/>
      <c r="N1153" s="261"/>
      <c r="O1153" s="261"/>
      <c r="P1153" s="261"/>
      <c r="Q1153" s="261"/>
      <c r="R1153" s="261"/>
      <c r="S1153" s="261"/>
      <c r="T1153" s="261"/>
      <c r="U1153" s="261"/>
      <c r="V1153" s="261"/>
      <c r="W1153" s="261"/>
      <c r="X1153" s="261"/>
      <c r="Y1153" s="261"/>
      <c r="Z1153" s="237" t="str">
        <f>BIN2HEX(RIGHT((LEFT(Z1148,20)),4))</f>
        <v>0</v>
      </c>
    </row>
    <row r="1154" spans="2:26" ht="13.5" thickBot="1">
      <c r="B1154" s="266" t="s">
        <v>18</v>
      </c>
      <c r="C1154" s="267" t="str">
        <f>CONCATENATE("0x",Z1149,Z1150,Z1151,Z1152,Z1153,Z1154,Z1155,Z1156)</f>
        <v>0x04800000</v>
      </c>
      <c r="Z1154" s="237" t="str">
        <f>BIN2HEX(RIGHT((LEFT(Z1148,24)),4))</f>
        <v>0</v>
      </c>
    </row>
    <row r="1155" spans="2:26">
      <c r="Z1155" s="237" t="str">
        <f>BIN2HEX(RIGHT((LEFT(Z1148,28)),4))</f>
        <v>0</v>
      </c>
    </row>
    <row r="1156" spans="2:26">
      <c r="K1156" s="237"/>
      <c r="Z1156" s="237" t="str">
        <f>BIN2HEX(RIGHT((LEFT(Z1148,33)),4))</f>
        <v>0</v>
      </c>
    </row>
    <row r="1158" spans="2:26">
      <c r="Z1158" s="248" t="s">
        <v>813</v>
      </c>
    </row>
    <row r="1159" spans="2:26" ht="13.5" thickBot="1">
      <c r="Z1159" s="237" t="str">
        <f>CONCATENATE(C1164,D1164,E1164,F1164,G1164,H1164,I1164,J1164,K1164,L1164,M1164,N1164,O1164)</f>
        <v>00000000100010011110101001011000</v>
      </c>
    </row>
    <row r="1160" spans="2:26" ht="13.5" thickBot="1">
      <c r="B1160" s="245" t="s">
        <v>813</v>
      </c>
      <c r="C1160" s="246"/>
      <c r="D1160" s="246"/>
      <c r="E1160" s="246"/>
      <c r="F1160" s="246"/>
      <c r="G1160" s="246"/>
      <c r="H1160" s="246"/>
      <c r="I1160" s="246"/>
      <c r="J1160" s="246"/>
      <c r="K1160" s="246"/>
      <c r="L1160" s="246"/>
      <c r="M1160" s="246"/>
      <c r="N1160" s="246"/>
      <c r="O1160" s="246"/>
      <c r="P1160" s="276"/>
      <c r="Q1160" s="276"/>
      <c r="R1160" s="276"/>
      <c r="S1160" s="276"/>
      <c r="T1160" s="276"/>
      <c r="U1160" s="276"/>
      <c r="V1160" s="276"/>
      <c r="W1160" s="276"/>
      <c r="X1160" s="276"/>
      <c r="Y1160" s="276"/>
      <c r="Z1160" s="237" t="str">
        <f>BIN2HEX(RIGHT((LEFT(Z1159,4)),4))</f>
        <v>0</v>
      </c>
    </row>
    <row r="1161" spans="2:26" ht="13.5" thickTop="1">
      <c r="B1161" s="249"/>
      <c r="C1161" s="268" t="s">
        <v>1164</v>
      </c>
      <c r="D1161" s="251" t="s">
        <v>1165</v>
      </c>
      <c r="E1161" s="268" t="s">
        <v>1166</v>
      </c>
      <c r="F1161" s="251" t="s">
        <v>1167</v>
      </c>
      <c r="G1161" s="268" t="s">
        <v>1168</v>
      </c>
      <c r="H1161" s="268" t="s">
        <v>1182</v>
      </c>
      <c r="I1161" s="268" t="s">
        <v>1175</v>
      </c>
      <c r="J1161" s="268" t="s">
        <v>1176</v>
      </c>
      <c r="K1161" s="268" t="s">
        <v>1177</v>
      </c>
      <c r="L1161" s="268" t="s">
        <v>1178</v>
      </c>
      <c r="M1161" s="268" t="s">
        <v>1179</v>
      </c>
      <c r="N1161" s="268" t="s">
        <v>1181</v>
      </c>
      <c r="O1161" s="268" t="s">
        <v>1180</v>
      </c>
      <c r="P1161" s="271"/>
      <c r="Q1161" s="271"/>
      <c r="R1161" s="271"/>
      <c r="S1161" s="271"/>
      <c r="T1161" s="271"/>
      <c r="U1161" s="271"/>
      <c r="V1161" s="271"/>
      <c r="W1161" s="271"/>
      <c r="X1161" s="271"/>
      <c r="Y1161" s="271"/>
      <c r="Z1161" s="237" t="str">
        <f>BIN2HEX(RIGHT((LEFT(Z1159,8)),4))</f>
        <v>0</v>
      </c>
    </row>
    <row r="1162" spans="2:26">
      <c r="B1162" s="255" t="s">
        <v>189</v>
      </c>
      <c r="C1162" s="256">
        <v>6</v>
      </c>
      <c r="D1162" s="257">
        <v>1</v>
      </c>
      <c r="E1162" s="256">
        <v>6</v>
      </c>
      <c r="F1162" s="257">
        <v>6</v>
      </c>
      <c r="G1162" s="256">
        <v>1</v>
      </c>
      <c r="H1162" s="256">
        <v>1</v>
      </c>
      <c r="I1162" s="256">
        <v>2</v>
      </c>
      <c r="J1162" s="256">
        <v>1</v>
      </c>
      <c r="K1162" s="256">
        <v>3</v>
      </c>
      <c r="L1162" s="256">
        <v>1</v>
      </c>
      <c r="M1162" s="256">
        <v>2</v>
      </c>
      <c r="N1162" s="256">
        <v>1</v>
      </c>
      <c r="O1162" s="256">
        <v>1</v>
      </c>
      <c r="P1162" s="274"/>
      <c r="Q1162" s="274"/>
      <c r="R1162" s="274"/>
      <c r="S1162" s="274"/>
      <c r="T1162" s="274"/>
      <c r="U1162" s="274"/>
      <c r="V1162" s="274"/>
      <c r="W1162" s="274"/>
      <c r="X1162" s="274"/>
      <c r="Y1162" s="274"/>
      <c r="Z1162" s="237" t="str">
        <f>BIN2HEX(RIGHT((LEFT(Z1159,12)),4))</f>
        <v>8</v>
      </c>
    </row>
    <row r="1163" spans="2:26" ht="13.5" thickBot="1">
      <c r="B1163" s="262" t="s">
        <v>16</v>
      </c>
      <c r="C1163" s="263">
        <v>0</v>
      </c>
      <c r="D1163" s="265">
        <v>0</v>
      </c>
      <c r="E1163" s="265">
        <v>11</v>
      </c>
      <c r="F1163" s="259" t="str">
        <f>DEC2HEX(CEILING(40/tCK/2,1)+1)</f>
        <v>F</v>
      </c>
      <c r="G1163" s="263">
        <v>0</v>
      </c>
      <c r="H1163" s="263">
        <v>1</v>
      </c>
      <c r="I1163" s="263">
        <f>IF(Memory_Type="DDR4",1,IF(Memory_Type="DDR3L",0,2))</f>
        <v>1</v>
      </c>
      <c r="J1163" s="263">
        <v>0</v>
      </c>
      <c r="K1163" s="263">
        <v>2</v>
      </c>
      <c r="L1163" s="263">
        <v>1</v>
      </c>
      <c r="M1163" s="263">
        <v>2</v>
      </c>
      <c r="N1163" s="263">
        <v>0</v>
      </c>
      <c r="O1163" s="263">
        <v>0</v>
      </c>
      <c r="P1163" s="261"/>
      <c r="Q1163" s="261"/>
      <c r="R1163" s="261"/>
      <c r="S1163" s="261"/>
      <c r="T1163" s="261"/>
      <c r="U1163" s="261"/>
      <c r="V1163" s="261"/>
      <c r="W1163" s="261"/>
      <c r="X1163" s="261"/>
      <c r="Y1163" s="261"/>
      <c r="Z1163" s="237" t="str">
        <f>BIN2HEX(RIGHT((LEFT(Z1159,16)),4))</f>
        <v>9</v>
      </c>
    </row>
    <row r="1164" spans="2:26" ht="13.5" thickBot="1">
      <c r="B1164" s="264" t="s">
        <v>17</v>
      </c>
      <c r="C1164" s="265" t="str">
        <f t="shared" ref="C1164:O1164" si="61">HEX2BIN(C1163,C1162)</f>
        <v>000000</v>
      </c>
      <c r="D1164" s="265" t="str">
        <f t="shared" si="61"/>
        <v>0</v>
      </c>
      <c r="E1164" s="265" t="str">
        <f t="shared" si="61"/>
        <v>010001</v>
      </c>
      <c r="F1164" s="265" t="str">
        <f t="shared" si="61"/>
        <v>001111</v>
      </c>
      <c r="G1164" s="265" t="str">
        <f t="shared" si="61"/>
        <v>0</v>
      </c>
      <c r="H1164" s="265" t="str">
        <f t="shared" si="61"/>
        <v>1</v>
      </c>
      <c r="I1164" s="265" t="str">
        <f t="shared" si="61"/>
        <v>01</v>
      </c>
      <c r="J1164" s="265" t="str">
        <f t="shared" si="61"/>
        <v>0</v>
      </c>
      <c r="K1164" s="265" t="str">
        <f t="shared" si="61"/>
        <v>010</v>
      </c>
      <c r="L1164" s="265" t="str">
        <f t="shared" si="61"/>
        <v>1</v>
      </c>
      <c r="M1164" s="265" t="str">
        <f t="shared" si="61"/>
        <v>10</v>
      </c>
      <c r="N1164" s="265" t="str">
        <f t="shared" si="61"/>
        <v>0</v>
      </c>
      <c r="O1164" s="265" t="str">
        <f t="shared" si="61"/>
        <v>0</v>
      </c>
      <c r="P1164" s="261"/>
      <c r="Q1164" s="261"/>
      <c r="R1164" s="261"/>
      <c r="S1164" s="261"/>
      <c r="T1164" s="261"/>
      <c r="U1164" s="261"/>
      <c r="V1164" s="261"/>
      <c r="W1164" s="261"/>
      <c r="X1164" s="261"/>
      <c r="Y1164" s="261"/>
      <c r="Z1164" s="237" t="str">
        <f>BIN2HEX(RIGHT((LEFT(Z1159,20)),4))</f>
        <v>E</v>
      </c>
    </row>
    <row r="1165" spans="2:26" ht="13.5" thickBot="1">
      <c r="B1165" s="266" t="s">
        <v>18</v>
      </c>
      <c r="C1165" s="267" t="str">
        <f>CONCATENATE("0x",Z1160,Z1161,Z1162,Z1163,Z1164,Z1165,Z1166,Z1167)</f>
        <v>0x0089EA58</v>
      </c>
      <c r="Z1165" s="237" t="str">
        <f>BIN2HEX(RIGHT((LEFT(Z1159,24)),4))</f>
        <v>A</v>
      </c>
    </row>
    <row r="1166" spans="2:26">
      <c r="Z1166" s="237" t="str">
        <f>BIN2HEX(RIGHT((LEFT(Z1159,28)),4))</f>
        <v>5</v>
      </c>
    </row>
    <row r="1167" spans="2:26">
      <c r="K1167" s="237"/>
      <c r="Z1167" s="237" t="str">
        <f>BIN2HEX(RIGHT((LEFT(Z1159,33)),4))</f>
        <v>8</v>
      </c>
    </row>
    <row r="1168" spans="2:26">
      <c r="Z1168" s="248" t="s">
        <v>1289</v>
      </c>
    </row>
    <row r="1169" spans="2:26" ht="13.5" thickBot="1">
      <c r="Z1169" s="237" t="str">
        <f>CONCATENATE(C1174,D1174,E1174,F1174,G1174,H1174,I1174,J1174,K1174)</f>
        <v>11110011110000110010000000010111</v>
      </c>
    </row>
    <row r="1170" spans="2:26" ht="13.5" thickBot="1">
      <c r="B1170" s="245" t="s">
        <v>1289</v>
      </c>
      <c r="C1170" s="246"/>
      <c r="D1170" s="246"/>
      <c r="E1170" s="246"/>
      <c r="F1170" s="246"/>
      <c r="G1170" s="246"/>
      <c r="H1170" s="246"/>
      <c r="I1170" s="246"/>
      <c r="J1170" s="246"/>
      <c r="K1170" s="246"/>
      <c r="L1170" s="276"/>
      <c r="M1170" s="276"/>
      <c r="N1170" s="276"/>
      <c r="O1170" s="276"/>
      <c r="P1170" s="276"/>
      <c r="Q1170" s="276"/>
      <c r="R1170" s="276"/>
      <c r="S1170" s="276"/>
      <c r="T1170" s="276"/>
      <c r="U1170" s="276"/>
      <c r="V1170" s="276"/>
      <c r="W1170" s="276"/>
      <c r="X1170" s="276"/>
      <c r="Y1170" s="276"/>
      <c r="Z1170" s="237" t="str">
        <f>BIN2HEX(RIGHT((LEFT(Z1169,4)),4))</f>
        <v>F</v>
      </c>
    </row>
    <row r="1171" spans="2:26" ht="13.5" thickTop="1">
      <c r="B1171" s="249"/>
      <c r="C1171" s="268" t="s">
        <v>1290</v>
      </c>
      <c r="D1171" s="251" t="s">
        <v>1291</v>
      </c>
      <c r="E1171" s="268" t="s">
        <v>1292</v>
      </c>
      <c r="F1171" s="251" t="s">
        <v>1293</v>
      </c>
      <c r="G1171" s="268" t="s">
        <v>1294</v>
      </c>
      <c r="H1171" s="268" t="s">
        <v>1295</v>
      </c>
      <c r="I1171" s="268" t="s">
        <v>1296</v>
      </c>
      <c r="J1171" s="268" t="s">
        <v>1297</v>
      </c>
      <c r="K1171" s="268" t="s">
        <v>1298</v>
      </c>
      <c r="L1171" s="254"/>
      <c r="M1171" s="254"/>
      <c r="N1171" s="254"/>
      <c r="O1171" s="254"/>
      <c r="P1171" s="271"/>
      <c r="Q1171" s="271"/>
      <c r="R1171" s="271"/>
      <c r="S1171" s="271"/>
      <c r="T1171" s="271"/>
      <c r="U1171" s="271"/>
      <c r="V1171" s="271"/>
      <c r="W1171" s="271"/>
      <c r="X1171" s="271"/>
      <c r="Y1171" s="271"/>
      <c r="Z1171" s="237" t="str">
        <f>BIN2HEX(RIGHT((LEFT(Z1169,8)),4))</f>
        <v>3</v>
      </c>
    </row>
    <row r="1172" spans="2:26">
      <c r="B1172" s="255" t="s">
        <v>189</v>
      </c>
      <c r="C1172" s="256">
        <v>3</v>
      </c>
      <c r="D1172" s="257">
        <v>1</v>
      </c>
      <c r="E1172" s="256">
        <v>1</v>
      </c>
      <c r="F1172" s="257">
        <v>1</v>
      </c>
      <c r="G1172" s="256">
        <v>4</v>
      </c>
      <c r="H1172" s="256">
        <v>4</v>
      </c>
      <c r="I1172" s="256">
        <v>6</v>
      </c>
      <c r="J1172" s="256">
        <v>6</v>
      </c>
      <c r="K1172" s="256">
        <v>6</v>
      </c>
      <c r="L1172" s="286"/>
      <c r="M1172" s="286"/>
      <c r="N1172" s="286"/>
      <c r="O1172" s="286"/>
      <c r="P1172" s="274"/>
      <c r="Q1172" s="274"/>
      <c r="R1172" s="274"/>
      <c r="S1172" s="274"/>
      <c r="T1172" s="274"/>
      <c r="U1172" s="274"/>
      <c r="V1172" s="274"/>
      <c r="W1172" s="274"/>
      <c r="X1172" s="274"/>
      <c r="Y1172" s="274"/>
      <c r="Z1172" s="237" t="str">
        <f>BIN2HEX(RIGHT((LEFT(Z1169,12)),4))</f>
        <v>C</v>
      </c>
    </row>
    <row r="1173" spans="2:26" ht="13.5" thickBot="1">
      <c r="B1173" s="262" t="s">
        <v>16</v>
      </c>
      <c r="C1173" s="263">
        <v>7</v>
      </c>
      <c r="D1173" s="265">
        <v>1</v>
      </c>
      <c r="E1173" s="265">
        <v>0</v>
      </c>
      <c r="F1173" s="259">
        <v>0</v>
      </c>
      <c r="G1173" s="263" t="s">
        <v>714</v>
      </c>
      <c r="H1173" s="263">
        <v>0</v>
      </c>
      <c r="I1173" s="263">
        <v>32</v>
      </c>
      <c r="J1173" s="263">
        <v>0</v>
      </c>
      <c r="K1173" s="263" t="str">
        <f>IF(Memory_Type="LPDDR4",E924,I808)</f>
        <v>17</v>
      </c>
      <c r="L1173" s="261"/>
      <c r="M1173" s="261"/>
      <c r="N1173" s="261"/>
      <c r="O1173" s="261"/>
      <c r="P1173" s="261"/>
      <c r="Q1173" s="261"/>
      <c r="R1173" s="261"/>
      <c r="S1173" s="261"/>
      <c r="T1173" s="261"/>
      <c r="U1173" s="261"/>
      <c r="V1173" s="261"/>
      <c r="W1173" s="261"/>
      <c r="X1173" s="261"/>
      <c r="Y1173" s="261"/>
      <c r="Z1173" s="237" t="str">
        <f>BIN2HEX(RIGHT((LEFT(Z1169,16)),4))</f>
        <v>3</v>
      </c>
    </row>
    <row r="1174" spans="2:26" ht="13.5" thickBot="1">
      <c r="B1174" s="264" t="s">
        <v>17</v>
      </c>
      <c r="C1174" s="265" t="str">
        <f t="shared" ref="C1174:K1174" si="62">HEX2BIN(C1173,C1172)</f>
        <v>111</v>
      </c>
      <c r="D1174" s="265" t="str">
        <f t="shared" si="62"/>
        <v>1</v>
      </c>
      <c r="E1174" s="265" t="str">
        <f t="shared" si="62"/>
        <v>0</v>
      </c>
      <c r="F1174" s="265" t="str">
        <f t="shared" si="62"/>
        <v>0</v>
      </c>
      <c r="G1174" s="265" t="str">
        <f t="shared" si="62"/>
        <v>1111</v>
      </c>
      <c r="H1174" s="265" t="str">
        <f t="shared" si="62"/>
        <v>0000</v>
      </c>
      <c r="I1174" s="265" t="str">
        <f t="shared" si="62"/>
        <v>110010</v>
      </c>
      <c r="J1174" s="265" t="str">
        <f t="shared" si="62"/>
        <v>000000</v>
      </c>
      <c r="K1174" s="265" t="str">
        <f t="shared" si="62"/>
        <v>010111</v>
      </c>
      <c r="L1174" s="261"/>
      <c r="M1174" s="261"/>
      <c r="N1174" s="261"/>
      <c r="O1174" s="261"/>
      <c r="P1174" s="261"/>
      <c r="Q1174" s="261"/>
      <c r="R1174" s="261"/>
      <c r="S1174" s="261"/>
      <c r="T1174" s="261"/>
      <c r="U1174" s="261"/>
      <c r="V1174" s="261"/>
      <c r="W1174" s="261"/>
      <c r="X1174" s="261"/>
      <c r="Y1174" s="261"/>
      <c r="Z1174" s="237" t="str">
        <f>BIN2HEX(RIGHT((LEFT(Z1169,20)),4))</f>
        <v>2</v>
      </c>
    </row>
    <row r="1175" spans="2:26" ht="13.5" thickBot="1">
      <c r="B1175" s="266" t="s">
        <v>18</v>
      </c>
      <c r="C1175" s="267" t="str">
        <f>CONCATENATE("0x",Z1170,Z1171,Z1172,Z1173,Z1174,Z1175,Z1176,Z1177)</f>
        <v>0xF3C32017</v>
      </c>
      <c r="Z1175" s="237" t="str">
        <f>BIN2HEX(RIGHT((LEFT(Z1169,24)),4))</f>
        <v>0</v>
      </c>
    </row>
    <row r="1176" spans="2:26">
      <c r="Z1176" s="237" t="str">
        <f>BIN2HEX(RIGHT((LEFT(Z1169,28)),4))</f>
        <v>1</v>
      </c>
    </row>
    <row r="1177" spans="2:26">
      <c r="K1177" s="237"/>
      <c r="Z1177" s="237" t="str">
        <f>BIN2HEX(RIGHT((LEFT(Z1169,33)),4))</f>
        <v>7</v>
      </c>
    </row>
    <row r="1179" spans="2:26">
      <c r="Z1179" s="248" t="s">
        <v>810</v>
      </c>
    </row>
    <row r="1180" spans="2:26" ht="13.5" thickBot="1">
      <c r="Z1180" s="237" t="str">
        <f>CONCATENATE(C1185,D1185,E1185,F1185,G1185)</f>
        <v>00000000000000000000000000111000</v>
      </c>
    </row>
    <row r="1181" spans="2:26" ht="13.5" thickBot="1">
      <c r="B1181" s="245" t="s">
        <v>810</v>
      </c>
      <c r="C1181" s="246"/>
      <c r="D1181" s="246"/>
      <c r="E1181" s="246"/>
      <c r="F1181" s="246"/>
      <c r="G1181" s="246"/>
      <c r="H1181" s="276"/>
      <c r="I1181" s="276"/>
      <c r="J1181" s="276"/>
      <c r="K1181" s="276"/>
      <c r="L1181" s="276"/>
      <c r="M1181" s="276"/>
      <c r="N1181" s="276"/>
      <c r="O1181" s="276"/>
      <c r="P1181" s="276"/>
      <c r="Q1181" s="276"/>
      <c r="R1181" s="276"/>
      <c r="S1181" s="276"/>
      <c r="T1181" s="276"/>
      <c r="U1181" s="276"/>
      <c r="V1181" s="276"/>
      <c r="W1181" s="276"/>
      <c r="X1181" s="276"/>
      <c r="Y1181" s="276"/>
      <c r="Z1181" s="237" t="str">
        <f>BIN2HEX(RIGHT((LEFT(Z1180,4)),4))</f>
        <v>0</v>
      </c>
    </row>
    <row r="1182" spans="2:26" ht="13.5" thickTop="1">
      <c r="B1182" s="249"/>
      <c r="C1182" s="268" t="s">
        <v>88</v>
      </c>
      <c r="D1182" s="251" t="s">
        <v>1197</v>
      </c>
      <c r="E1182" s="268" t="s">
        <v>1198</v>
      </c>
      <c r="F1182" s="251" t="s">
        <v>1200</v>
      </c>
      <c r="G1182" s="268" t="s">
        <v>1201</v>
      </c>
      <c r="H1182" s="254"/>
      <c r="I1182" s="254"/>
      <c r="J1182" s="254"/>
      <c r="K1182" s="254"/>
      <c r="L1182" s="254"/>
      <c r="M1182" s="254"/>
      <c r="N1182" s="254"/>
      <c r="O1182" s="254"/>
      <c r="P1182" s="271"/>
      <c r="Q1182" s="271"/>
      <c r="R1182" s="271"/>
      <c r="S1182" s="271"/>
      <c r="T1182" s="271"/>
      <c r="U1182" s="271"/>
      <c r="V1182" s="271"/>
      <c r="W1182" s="271"/>
      <c r="X1182" s="271"/>
      <c r="Y1182" s="271"/>
      <c r="Z1182" s="237" t="str">
        <f>BIN2HEX(RIGHT((LEFT(Z1180,8)),4))</f>
        <v>0</v>
      </c>
    </row>
    <row r="1183" spans="2:26">
      <c r="B1183" s="255" t="s">
        <v>189</v>
      </c>
      <c r="C1183" s="256">
        <v>2</v>
      </c>
      <c r="D1183" s="257">
        <v>1</v>
      </c>
      <c r="E1183" s="256">
        <v>22</v>
      </c>
      <c r="F1183" s="257">
        <v>4</v>
      </c>
      <c r="G1183" s="256">
        <v>3</v>
      </c>
      <c r="H1183" s="286"/>
      <c r="I1183" s="286"/>
      <c r="J1183" s="286"/>
      <c r="K1183" s="286"/>
      <c r="L1183" s="286"/>
      <c r="M1183" s="286"/>
      <c r="N1183" s="286"/>
      <c r="O1183" s="286"/>
      <c r="P1183" s="274"/>
      <c r="Q1183" s="274"/>
      <c r="R1183" s="274"/>
      <c r="S1183" s="274"/>
      <c r="T1183" s="274"/>
      <c r="U1183" s="274"/>
      <c r="V1183" s="274"/>
      <c r="W1183" s="274"/>
      <c r="X1183" s="274"/>
      <c r="Y1183" s="274"/>
      <c r="Z1183" s="237" t="str">
        <f>BIN2HEX(RIGHT((LEFT(Z1180,12)),4))</f>
        <v>0</v>
      </c>
    </row>
    <row r="1184" spans="2:26" ht="13.5" thickBot="1">
      <c r="B1184" s="262" t="s">
        <v>16</v>
      </c>
      <c r="C1184" s="263">
        <v>0</v>
      </c>
      <c r="D1184" s="265">
        <f>IF(DDR_Rank="Single_Rank",0,1)</f>
        <v>0</v>
      </c>
      <c r="E1184" s="265">
        <v>0</v>
      </c>
      <c r="F1184" s="259">
        <v>7</v>
      </c>
      <c r="G1184" s="263">
        <v>0</v>
      </c>
      <c r="H1184" s="261"/>
      <c r="I1184" s="261"/>
      <c r="J1184" s="261"/>
      <c r="K1184" s="261"/>
      <c r="L1184" s="261"/>
      <c r="M1184" s="261"/>
      <c r="N1184" s="261"/>
      <c r="O1184" s="261"/>
      <c r="P1184" s="261"/>
      <c r="Q1184" s="261"/>
      <c r="R1184" s="261"/>
      <c r="S1184" s="261"/>
      <c r="T1184" s="261"/>
      <c r="U1184" s="261"/>
      <c r="V1184" s="261"/>
      <c r="W1184" s="261"/>
      <c r="X1184" s="261"/>
      <c r="Y1184" s="261"/>
      <c r="Z1184" s="237" t="str">
        <f>BIN2HEX(RIGHT((LEFT(Z1180,16)),4))</f>
        <v>0</v>
      </c>
    </row>
    <row r="1185" spans="2:26" ht="13.5" thickBot="1">
      <c r="B1185" s="264" t="s">
        <v>17</v>
      </c>
      <c r="C1185" s="265" t="str">
        <f>HEX2BIN(C1184,C1183)</f>
        <v>00</v>
      </c>
      <c r="D1185" s="265" t="str">
        <f>HEX2BIN(D1184,D1183)</f>
        <v>0</v>
      </c>
      <c r="E1185" s="277" t="s">
        <v>1199</v>
      </c>
      <c r="F1185" s="265" t="str">
        <f>HEX2BIN(F1184,F1183)</f>
        <v>0111</v>
      </c>
      <c r="G1185" s="265" t="str">
        <f>HEX2BIN(G1184,G1183)</f>
        <v>000</v>
      </c>
      <c r="H1185" s="261"/>
      <c r="I1185" s="261"/>
      <c r="J1185" s="261"/>
      <c r="K1185" s="261"/>
      <c r="L1185" s="261"/>
      <c r="M1185" s="261"/>
      <c r="N1185" s="261"/>
      <c r="O1185" s="261"/>
      <c r="P1185" s="261"/>
      <c r="Q1185" s="261"/>
      <c r="R1185" s="261"/>
      <c r="S1185" s="261"/>
      <c r="T1185" s="261"/>
      <c r="U1185" s="261"/>
      <c r="V1185" s="261"/>
      <c r="W1185" s="261"/>
      <c r="X1185" s="261"/>
      <c r="Y1185" s="261"/>
      <c r="Z1185" s="237" t="str">
        <f>BIN2HEX(RIGHT((LEFT(Z1180,20)),4))</f>
        <v>0</v>
      </c>
    </row>
    <row r="1186" spans="2:26" ht="13.5" thickBot="1">
      <c r="B1186" s="266" t="s">
        <v>18</v>
      </c>
      <c r="C1186" s="267" t="str">
        <f>CONCATENATE("0x",Z1181,Z1182,Z1183,Z1184,Z1185,Z1186,Z1187,Z1188)</f>
        <v>0x00000038</v>
      </c>
      <c r="Z1186" s="237" t="str">
        <f>BIN2HEX(RIGHT((LEFT(Z1180,24)),4))</f>
        <v>0</v>
      </c>
    </row>
    <row r="1187" spans="2:26">
      <c r="Z1187" s="237" t="str">
        <f>BIN2HEX(RIGHT((LEFT(Z1180,28)),4))</f>
        <v>3</v>
      </c>
    </row>
    <row r="1188" spans="2:26">
      <c r="K1188" s="237"/>
      <c r="Z1188" s="237" t="str">
        <f>BIN2HEX(RIGHT((LEFT(Z1180,33)),4))</f>
        <v>8</v>
      </c>
    </row>
    <row r="1189" spans="2:26" ht="13.5" thickBot="1"/>
    <row r="1190" spans="2:26">
      <c r="Z1190" s="245" t="s">
        <v>2351</v>
      </c>
    </row>
    <row r="1191" spans="2:26" ht="13.5" thickBot="1">
      <c r="Z1191" s="237" t="str">
        <f>CONCATENATE(C1196,D1196,E1196,F1196,G1196,H1196,I1196,J1196,K1196,L1196,M1196,N1196,O1196,P1196,Q1196)</f>
        <v>00000001001001100100001100000000</v>
      </c>
    </row>
    <row r="1192" spans="2:26" ht="13.5" thickBot="1">
      <c r="B1192" s="245" t="s">
        <v>2351</v>
      </c>
      <c r="C1192" s="246"/>
      <c r="D1192" s="246"/>
      <c r="E1192" s="246"/>
      <c r="F1192" s="246"/>
      <c r="G1192" s="246"/>
      <c r="H1192" s="246"/>
      <c r="I1192" s="246"/>
      <c r="J1192" s="246"/>
      <c r="K1192" s="246"/>
      <c r="L1192" s="246"/>
      <c r="M1192" s="246"/>
      <c r="N1192" s="246"/>
      <c r="O1192" s="246"/>
      <c r="P1192" s="246"/>
      <c r="Q1192" s="246"/>
      <c r="R1192" s="276"/>
      <c r="S1192" s="276"/>
      <c r="T1192" s="276"/>
      <c r="U1192" s="276"/>
      <c r="V1192" s="276"/>
      <c r="W1192" s="276"/>
      <c r="X1192" s="276"/>
      <c r="Y1192" s="276"/>
      <c r="Z1192" s="237" t="str">
        <f>BIN2HEX(RIGHT((LEFT(Z1191,4)),4))</f>
        <v>0</v>
      </c>
    </row>
    <row r="1193" spans="2:26" ht="13.5" thickTop="1">
      <c r="B1193" s="249"/>
      <c r="C1193" s="268" t="s">
        <v>598</v>
      </c>
      <c r="D1193" s="251" t="s">
        <v>2352</v>
      </c>
      <c r="E1193" s="268" t="s">
        <v>323</v>
      </c>
      <c r="F1193" s="251" t="s">
        <v>2353</v>
      </c>
      <c r="G1193" s="268" t="s">
        <v>2354</v>
      </c>
      <c r="H1193" s="251" t="s">
        <v>2355</v>
      </c>
      <c r="I1193" s="268" t="s">
        <v>2356</v>
      </c>
      <c r="J1193" s="251" t="s">
        <v>2357</v>
      </c>
      <c r="K1193" s="268" t="s">
        <v>2358</v>
      </c>
      <c r="L1193" s="251" t="s">
        <v>2359</v>
      </c>
      <c r="M1193" s="268" t="s">
        <v>2360</v>
      </c>
      <c r="N1193" s="251" t="s">
        <v>214</v>
      </c>
      <c r="O1193" s="268" t="s">
        <v>2361</v>
      </c>
      <c r="P1193" s="251" t="s">
        <v>2362</v>
      </c>
      <c r="Q1193" s="268" t="s">
        <v>2363</v>
      </c>
      <c r="R1193" s="254"/>
      <c r="S1193" s="254"/>
      <c r="T1193" s="271"/>
      <c r="U1193" s="271"/>
      <c r="V1193" s="271"/>
      <c r="W1193" s="271"/>
      <c r="X1193" s="271"/>
      <c r="Y1193" s="271"/>
      <c r="Z1193" s="237" t="str">
        <f>BIN2HEX(RIGHT((LEFT(Z1191,8)),4))</f>
        <v>1</v>
      </c>
    </row>
    <row r="1194" spans="2:26">
      <c r="B1194" s="255" t="s">
        <v>189</v>
      </c>
      <c r="C1194" s="256">
        <v>7</v>
      </c>
      <c r="D1194" s="257">
        <v>1</v>
      </c>
      <c r="E1194" s="256">
        <v>2</v>
      </c>
      <c r="F1194" s="257">
        <v>1</v>
      </c>
      <c r="G1194" s="256">
        <v>2</v>
      </c>
      <c r="H1194" s="257">
        <v>1</v>
      </c>
      <c r="I1194" s="256">
        <v>1</v>
      </c>
      <c r="J1194" s="257">
        <v>1</v>
      </c>
      <c r="K1194" s="256">
        <v>1</v>
      </c>
      <c r="L1194" s="257">
        <v>1</v>
      </c>
      <c r="M1194" s="256">
        <v>1</v>
      </c>
      <c r="N1194" s="257">
        <v>3</v>
      </c>
      <c r="O1194" s="256">
        <v>2</v>
      </c>
      <c r="P1194" s="257">
        <v>4</v>
      </c>
      <c r="Q1194" s="256">
        <v>4</v>
      </c>
      <c r="R1194" s="286"/>
      <c r="S1194" s="286"/>
      <c r="T1194" s="274"/>
      <c r="U1194" s="274"/>
      <c r="V1194" s="274"/>
      <c r="W1194" s="274"/>
      <c r="X1194" s="274"/>
      <c r="Y1194" s="274"/>
      <c r="Z1194" s="237" t="str">
        <f>BIN2HEX(RIGHT((LEFT(Z1191,12)),4))</f>
        <v>2</v>
      </c>
    </row>
    <row r="1195" spans="2:26" ht="13.5" thickBot="1">
      <c r="B1195" s="262" t="s">
        <v>16</v>
      </c>
      <c r="C1195" s="263">
        <v>0</v>
      </c>
      <c r="D1195" s="265">
        <v>1</v>
      </c>
      <c r="E1195" s="265">
        <v>0</v>
      </c>
      <c r="F1195" s="259">
        <v>1</v>
      </c>
      <c r="G1195" s="263">
        <v>0</v>
      </c>
      <c r="H1195" s="265">
        <v>1</v>
      </c>
      <c r="I1195" s="265">
        <v>1</v>
      </c>
      <c r="J1195" s="259">
        <v>0</v>
      </c>
      <c r="K1195" s="263">
        <v>0</v>
      </c>
      <c r="L1195" s="265">
        <v>1</v>
      </c>
      <c r="M1195" s="265">
        <v>0</v>
      </c>
      <c r="N1195" s="259">
        <v>0</v>
      </c>
      <c r="O1195" s="263">
        <f>IF(AM65x_DQ_Slew="Slow_Mode",0,IF(AM65x_DQ_Slew="Medium_Slow_Mode",1,IF(AM65x_DQ_Slew="Medium_Fast_Mode",2,IF(AM65x_DQ_Slew="Fast_Mode",3,"ERROR"))))</f>
        <v>3</v>
      </c>
      <c r="P1195" s="265">
        <f>IF(DDR_Rank="Single_Rank",0,1)</f>
        <v>0</v>
      </c>
      <c r="Q1195" s="265">
        <v>0</v>
      </c>
      <c r="R1195" s="261"/>
      <c r="S1195" s="261"/>
      <c r="T1195" s="261"/>
      <c r="U1195" s="261"/>
      <c r="V1195" s="261"/>
      <c r="W1195" s="261"/>
      <c r="X1195" s="261"/>
      <c r="Y1195" s="261"/>
      <c r="Z1195" s="237" t="str">
        <f>BIN2HEX(RIGHT((LEFT(Z1191,16)),4))</f>
        <v>6</v>
      </c>
    </row>
    <row r="1196" spans="2:26" ht="13.5" thickBot="1">
      <c r="B1196" s="264" t="s">
        <v>17</v>
      </c>
      <c r="C1196" s="265" t="str">
        <f t="shared" ref="C1196:Q1196" si="63">HEX2BIN(C1195,C1194)</f>
        <v>0000000</v>
      </c>
      <c r="D1196" s="265" t="str">
        <f t="shared" si="63"/>
        <v>1</v>
      </c>
      <c r="E1196" s="265" t="str">
        <f t="shared" si="63"/>
        <v>00</v>
      </c>
      <c r="F1196" s="265" t="str">
        <f t="shared" si="63"/>
        <v>1</v>
      </c>
      <c r="G1196" s="265" t="str">
        <f t="shared" si="63"/>
        <v>00</v>
      </c>
      <c r="H1196" s="265" t="str">
        <f t="shared" si="63"/>
        <v>1</v>
      </c>
      <c r="I1196" s="265" t="str">
        <f t="shared" si="63"/>
        <v>1</v>
      </c>
      <c r="J1196" s="265" t="str">
        <f t="shared" si="63"/>
        <v>0</v>
      </c>
      <c r="K1196" s="265" t="str">
        <f t="shared" si="63"/>
        <v>0</v>
      </c>
      <c r="L1196" s="265" t="str">
        <f t="shared" si="63"/>
        <v>1</v>
      </c>
      <c r="M1196" s="265" t="str">
        <f t="shared" si="63"/>
        <v>0</v>
      </c>
      <c r="N1196" s="265" t="str">
        <f t="shared" si="63"/>
        <v>000</v>
      </c>
      <c r="O1196" s="265" t="str">
        <f t="shared" si="63"/>
        <v>11</v>
      </c>
      <c r="P1196" s="265" t="str">
        <f t="shared" si="63"/>
        <v>0000</v>
      </c>
      <c r="Q1196" s="265" t="str">
        <f t="shared" si="63"/>
        <v>0000</v>
      </c>
      <c r="R1196" s="261"/>
      <c r="S1196" s="261"/>
      <c r="T1196" s="261"/>
      <c r="U1196" s="261"/>
      <c r="V1196" s="261"/>
      <c r="W1196" s="261"/>
      <c r="X1196" s="261"/>
      <c r="Y1196" s="261"/>
      <c r="Z1196" s="237" t="str">
        <f>BIN2HEX(RIGHT((LEFT(Z1191,20)),4))</f>
        <v>4</v>
      </c>
    </row>
    <row r="1197" spans="2:26" ht="13.5" thickBot="1">
      <c r="B1197" s="266" t="s">
        <v>18</v>
      </c>
      <c r="C1197" s="267" t="str">
        <f>CONCATENATE("0x",Z1192,Z1193,Z1194,Z1195,Z1196,Z1197,Z1198,Z1199)</f>
        <v>0x01264300</v>
      </c>
      <c r="Z1197" s="237" t="str">
        <f>BIN2HEX(RIGHT((LEFT(Z1191,24)),4))</f>
        <v>3</v>
      </c>
    </row>
    <row r="1198" spans="2:26">
      <c r="Z1198" s="237" t="str">
        <f>BIN2HEX(RIGHT((LEFT(Z1191,28)),4))</f>
        <v>0</v>
      </c>
    </row>
    <row r="1199" spans="2:26">
      <c r="K1199" s="237"/>
      <c r="Z1199" s="237" t="str">
        <f>BIN2HEX(RIGHT((LEFT(Z1191,33)),4))</f>
        <v>0</v>
      </c>
    </row>
  </sheetData>
  <sheetProtection password="8E0D" sheet="1" objects="1" scenarios="1"/>
  <mergeCells count="4">
    <mergeCell ref="B2:I2"/>
    <mergeCell ref="B3:I3"/>
    <mergeCell ref="B4:I6"/>
    <mergeCell ref="B7:I8"/>
  </mergeCells>
  <phoneticPr fontId="59" type="noConversion"/>
  <pageMargins left="0.75" right="0.75" top="1" bottom="1" header="0.5" footer="0.5"/>
  <pageSetup orientation="portrait"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rgb="FF92D050"/>
  </sheetPr>
  <dimension ref="A2:AB345"/>
  <sheetViews>
    <sheetView topLeftCell="A19" zoomScaleNormal="100" workbookViewId="0">
      <selection activeCell="H29" sqref="H29"/>
    </sheetView>
  </sheetViews>
  <sheetFormatPr defaultColWidth="9.140625" defaultRowHeight="12.75"/>
  <cols>
    <col min="1" max="1" width="9.28515625" style="132" customWidth="1"/>
    <col min="2" max="2" width="3.140625" style="132" customWidth="1"/>
    <col min="3" max="3" width="21.28515625" style="132" customWidth="1"/>
    <col min="4" max="4" width="29.28515625" style="132" customWidth="1"/>
    <col min="5" max="5" width="8" style="132" customWidth="1"/>
    <col min="6" max="6" width="45.5703125" style="132" customWidth="1"/>
    <col min="7" max="7" width="3.28515625" style="132" customWidth="1"/>
    <col min="8" max="8" width="82.5703125" style="132" customWidth="1"/>
    <col min="9" max="9" width="51.28515625" style="132" hidden="1" customWidth="1"/>
    <col min="10" max="10" width="10" style="132" customWidth="1"/>
    <col min="11" max="11" width="9.140625" style="132" customWidth="1"/>
    <col min="12" max="12" width="34.140625" style="132" customWidth="1"/>
    <col min="13" max="13" width="9.140625" style="132" customWidth="1"/>
    <col min="14" max="28" width="11.5703125" style="132" customWidth="1"/>
    <col min="29" max="29" width="9.140625" style="132" customWidth="1"/>
    <col min="30" max="16384" width="9.140625" style="132"/>
  </cols>
  <sheetData>
    <row r="2" spans="3:9">
      <c r="C2" s="345" t="s">
        <v>1477</v>
      </c>
      <c r="D2" s="346"/>
    </row>
    <row r="3" spans="3:9">
      <c r="C3" s="346"/>
      <c r="D3" s="346"/>
    </row>
    <row r="4" spans="3:9" s="287" customFormat="1" ht="13.5">
      <c r="C4" s="347"/>
      <c r="D4" s="347"/>
      <c r="I4" s="287" t="str">
        <f t="shared" ref="I4:I107" si="0">CONCATENATE(A4,B4,C4,D4,E4,F4,G4,H4)</f>
        <v/>
      </c>
    </row>
    <row r="5" spans="3:9" s="287" customFormat="1" ht="14.25" thickBot="1"/>
    <row r="6" spans="3:9" s="287" customFormat="1" ht="14.25" thickBot="1">
      <c r="C6" s="413" t="s">
        <v>2449</v>
      </c>
      <c r="I6" s="287" t="str">
        <f t="shared" si="0"/>
        <v>/* Copyright (c) 2020, Texas Instruments Incorporated</v>
      </c>
    </row>
    <row r="7" spans="3:9" s="287" customFormat="1" ht="14.25" thickBot="1">
      <c r="C7" s="414" t="s">
        <v>2411</v>
      </c>
      <c r="I7" s="287" t="str">
        <f t="shared" si="0"/>
        <v>*</v>
      </c>
    </row>
    <row r="8" spans="3:9" s="287" customFormat="1" ht="14.25" thickBot="1">
      <c r="C8" s="414" t="s">
        <v>2419</v>
      </c>
      <c r="I8" s="287" t="str">
        <f t="shared" si="0"/>
        <v>* Redistribution and use in source and binary forms, with or without</v>
      </c>
    </row>
    <row r="9" spans="3:9" s="287" customFormat="1" ht="14.25" thickBot="1">
      <c r="C9" s="414" t="s">
        <v>2420</v>
      </c>
      <c r="I9" s="287" t="str">
        <f t="shared" si="0"/>
        <v>* modification, are permitted provided that the following conditions</v>
      </c>
    </row>
    <row r="10" spans="3:9" s="287" customFormat="1" ht="14.25" thickBot="1">
      <c r="C10" s="414" t="s">
        <v>2421</v>
      </c>
      <c r="I10" s="287" t="str">
        <f t="shared" si="0"/>
        <v>* are met:</v>
      </c>
    </row>
    <row r="11" spans="3:9" s="287" customFormat="1" ht="14.25" thickBot="1">
      <c r="C11" s="414" t="s">
        <v>2411</v>
      </c>
      <c r="I11" s="287" t="str">
        <f t="shared" si="0"/>
        <v>*</v>
      </c>
    </row>
    <row r="12" spans="3:9" s="287" customFormat="1" ht="14.25" thickBot="1">
      <c r="C12" s="414" t="s">
        <v>2422</v>
      </c>
      <c r="I12" s="287" t="str">
        <f t="shared" si="0"/>
        <v>* *  Redistributions of source code must retain the above copyright</v>
      </c>
    </row>
    <row r="13" spans="3:9" s="287" customFormat="1" ht="14.25" thickBot="1">
      <c r="C13" s="414" t="s">
        <v>2423</v>
      </c>
      <c r="I13" s="287" t="str">
        <f t="shared" si="0"/>
        <v>*    notice, this list of conditions and the following disclaimer.</v>
      </c>
    </row>
    <row r="14" spans="3:9" s="287" customFormat="1" ht="14.25" thickBot="1">
      <c r="C14" s="414" t="s">
        <v>2411</v>
      </c>
      <c r="I14" s="287" t="str">
        <f t="shared" si="0"/>
        <v>*</v>
      </c>
    </row>
    <row r="15" spans="3:9" s="287" customFormat="1" ht="14.25" thickBot="1">
      <c r="C15" s="414" t="s">
        <v>2424</v>
      </c>
      <c r="I15" s="287" t="str">
        <f t="shared" si="0"/>
        <v>* *  Redistributions in binary form must reproduce the above copyright</v>
      </c>
    </row>
    <row r="16" spans="3:9" s="287" customFormat="1" ht="14.25" thickBot="1">
      <c r="C16" s="414" t="s">
        <v>2425</v>
      </c>
      <c r="I16" s="287" t="str">
        <f t="shared" si="0"/>
        <v>*    notice, this list of conditions and the following disclaimer in the</v>
      </c>
    </row>
    <row r="17" spans="3:9" s="287" customFormat="1" ht="14.25" thickBot="1">
      <c r="C17" s="414" t="s">
        <v>2426</v>
      </c>
      <c r="I17" s="287" t="str">
        <f t="shared" si="0"/>
        <v>*    documentation and/or other materials provided with the distribution.</v>
      </c>
    </row>
    <row r="18" spans="3:9" s="287" customFormat="1" ht="14.25" thickBot="1">
      <c r="C18" s="414" t="s">
        <v>2411</v>
      </c>
      <c r="I18" s="287" t="str">
        <f t="shared" si="0"/>
        <v>*</v>
      </c>
    </row>
    <row r="19" spans="3:9" s="287" customFormat="1" ht="14.25" thickBot="1">
      <c r="C19" s="414" t="s">
        <v>2427</v>
      </c>
      <c r="I19" s="287" t="str">
        <f t="shared" si="0"/>
        <v>* *  Neither the name of Texas Instruments Incorporated nor the names of</v>
      </c>
    </row>
    <row r="20" spans="3:9" s="287" customFormat="1" ht="14.25" thickBot="1">
      <c r="C20" s="414" t="s">
        <v>2428</v>
      </c>
      <c r="I20" s="287" t="str">
        <f t="shared" si="0"/>
        <v>*    its contributors may be used to endorse or promote products derived</v>
      </c>
    </row>
    <row r="21" spans="3:9" s="287" customFormat="1" ht="14.25" thickBot="1">
      <c r="C21" s="414" t="s">
        <v>2429</v>
      </c>
      <c r="I21" s="287" t="str">
        <f t="shared" si="0"/>
        <v>*    from this software without specific prior written permission.</v>
      </c>
    </row>
    <row r="22" spans="3:9" s="287" customFormat="1" ht="14.25" thickBot="1">
      <c r="C22" s="414" t="s">
        <v>2411</v>
      </c>
      <c r="I22" s="287" t="str">
        <f t="shared" si="0"/>
        <v>*</v>
      </c>
    </row>
    <row r="23" spans="3:9" s="287" customFormat="1" ht="14.25" thickBot="1">
      <c r="C23" s="414" t="s">
        <v>2430</v>
      </c>
      <c r="I23" s="287" t="str">
        <f t="shared" si="0"/>
        <v>* THIS SOFTWARE IS PROVIDED BY THE COPYRIGHT HOLDERS AND CONTRIBUTORS "AS IS"</v>
      </c>
    </row>
    <row r="24" spans="3:9" s="287" customFormat="1" ht="14.25" thickBot="1">
      <c r="C24" s="414" t="s">
        <v>2431</v>
      </c>
      <c r="I24" s="287" t="str">
        <f t="shared" si="0"/>
        <v>* AND ANY EXPRESS OR IMPLIED WARRANTIES, INCLUDING, BUT NOT LIMITED TO,</v>
      </c>
    </row>
    <row r="25" spans="3:9" s="287" customFormat="1" ht="14.25" thickBot="1">
      <c r="C25" s="414" t="s">
        <v>2432</v>
      </c>
      <c r="I25" s="287" t="str">
        <f t="shared" si="0"/>
        <v>* THE IMPLIED WARRANTIES OF MERCHANTABILITY AND FITNESS FOR A PARTICULAR</v>
      </c>
    </row>
    <row r="26" spans="3:9" s="287" customFormat="1" ht="14.25" thickBot="1">
      <c r="C26" s="414" t="s">
        <v>2433</v>
      </c>
      <c r="I26" s="287" t="str">
        <f t="shared" si="0"/>
        <v>* PURPOSE ARE DISCLAIMED. IN NO EVENT SHALL THE COPYRIGHT OWNER OR</v>
      </c>
    </row>
    <row r="27" spans="3:9" s="287" customFormat="1" ht="14.25" thickBot="1">
      <c r="C27" s="414" t="s">
        <v>2434</v>
      </c>
      <c r="I27" s="287" t="str">
        <f t="shared" si="0"/>
        <v>* CONTRIBUTORS BE LIABLE FOR ANY DIRECT, INDIRECT, INCIDENTAL, SPECIAL,</v>
      </c>
    </row>
    <row r="28" spans="3:9" s="287" customFormat="1" ht="14.25" thickBot="1">
      <c r="C28" s="414" t="s">
        <v>2435</v>
      </c>
      <c r="I28" s="287" t="str">
        <f t="shared" si="0"/>
        <v>* EXEMPLARY, OR CONSEQUENTIAL DAMAGES (INCLUDING, BUT NOT LIMITED TO,</v>
      </c>
    </row>
    <row r="29" spans="3:9" s="287" customFormat="1" ht="14.25" thickBot="1">
      <c r="C29" s="414" t="s">
        <v>2436</v>
      </c>
      <c r="I29" s="287" t="str">
        <f t="shared" si="0"/>
        <v>* PROCUREMENT OF SUBSTITUTE GOODS OR SERVICES; LOSS OF USE, DATA, OR PROFITS;</v>
      </c>
    </row>
    <row r="30" spans="3:9" s="287" customFormat="1" ht="14.25" thickBot="1">
      <c r="C30" s="414" t="s">
        <v>2437</v>
      </c>
      <c r="I30" s="287" t="str">
        <f t="shared" si="0"/>
        <v>* OR BUSINESS INTERRUPTION) HOWEVER CAUSED AND ON ANY THEORY OF LIABILITY,</v>
      </c>
    </row>
    <row r="31" spans="3:9" s="287" customFormat="1" ht="14.25" thickBot="1">
      <c r="C31" s="414" t="s">
        <v>2438</v>
      </c>
      <c r="I31" s="287" t="str">
        <f t="shared" si="0"/>
        <v>* WHETHER IN CONTRACT, STRICT LIABILITY, OR TORT (INCLUDING NEGLIGENCE OR</v>
      </c>
    </row>
    <row r="32" spans="3:9" s="287" customFormat="1" ht="14.25" thickBot="1">
      <c r="C32" s="414" t="s">
        <v>2439</v>
      </c>
      <c r="I32" s="287" t="str">
        <f t="shared" si="0"/>
        <v>* OTHERWISE) ARISING IN ANY WAY OUT OF THE USE OF THIS SOFTWARE,</v>
      </c>
    </row>
    <row r="33" spans="1:9" s="287" customFormat="1" ht="14.25" thickBot="1">
      <c r="C33" s="414" t="s">
        <v>2440</v>
      </c>
      <c r="I33" s="287" t="str">
        <f t="shared" si="0"/>
        <v>* EVEN IF ADVISED OF THE POSSIBILITY OF SUCH DAMAGE. */</v>
      </c>
    </row>
    <row r="34" spans="1:9" s="287" customFormat="1" ht="13.5">
      <c r="C34" s="415"/>
      <c r="I34" s="287" t="str">
        <f t="shared" si="0"/>
        <v/>
      </c>
    </row>
    <row r="35" spans="1:9" ht="13.5">
      <c r="C35" s="287" t="str">
        <f ca="1">CONCATENATE("* This file was generated by ",MID(CELL("filename"),SEARCH("[",CELL("filename"))+1, SEARCH("]",CELL("filename"))-SEARCH("[",CELL("filename"))-1))</f>
        <v>* This file was generated by GHMI Plus_EMIF_Tool_2.02 for 666MHz.xlsm</v>
      </c>
      <c r="I35" s="287" t="str">
        <f t="shared" ca="1" si="0"/>
        <v>* This file was generated by GHMI Plus_EMIF_Tool_2.02 for 666MHz.xlsm</v>
      </c>
    </row>
    <row r="36" spans="1:9" ht="13.5">
      <c r="C36" s="287" t="s">
        <v>2441</v>
      </c>
      <c r="I36" s="287" t="str">
        <f t="shared" si="0"/>
        <v>* http://www.ti.com/lit/pdf/spracj0</v>
      </c>
    </row>
    <row r="37" spans="1:9" ht="13.5">
      <c r="C37" s="287" t="s">
        <v>2442</v>
      </c>
      <c r="I37" s="287" t="str">
        <f t="shared" si="0"/>
        <v>* Configuration Parameters</v>
      </c>
    </row>
    <row r="38" spans="1:9" ht="13.5">
      <c r="C38" s="287" t="s">
        <v>2443</v>
      </c>
      <c r="D38" s="353" t="str">
        <f>Memory_Type</f>
        <v>DDR4</v>
      </c>
      <c r="E38" s="287"/>
      <c r="I38" s="287" t="str">
        <f t="shared" si="0"/>
        <v>* Memory Type:DDR4</v>
      </c>
    </row>
    <row r="39" spans="1:9" ht="13.5">
      <c r="C39" s="287" t="s">
        <v>2444</v>
      </c>
      <c r="D39" s="353">
        <f>Data_Rate</f>
        <v>1333</v>
      </c>
      <c r="E39" s="287" t="s">
        <v>1</v>
      </c>
      <c r="I39" s="287" t="str">
        <f t="shared" si="0"/>
        <v>* Data Rate:1333MT/s</v>
      </c>
    </row>
    <row r="40" spans="1:9" ht="13.5">
      <c r="C40" s="287" t="s">
        <v>2445</v>
      </c>
      <c r="D40" s="353" t="str">
        <f>'Step1-System Details'!E18</f>
        <v>No</v>
      </c>
      <c r="E40" s="287"/>
      <c r="I40" s="287" t="str">
        <f t="shared" si="0"/>
        <v>* ECC Enabled:No</v>
      </c>
    </row>
    <row r="41" spans="1:9" ht="13.5">
      <c r="C41" s="287" t="s">
        <v>2446</v>
      </c>
      <c r="D41" s="353">
        <f>DDR_Width</f>
        <v>32</v>
      </c>
      <c r="E41" s="287" t="s">
        <v>1385</v>
      </c>
      <c r="I41" s="287" t="str">
        <f t="shared" si="0"/>
        <v>* Data Width:32bits</v>
      </c>
    </row>
    <row r="42" spans="1:9" ht="13.5">
      <c r="C42" s="287" t="s">
        <v>2447</v>
      </c>
      <c r="D42" s="365" t="str">
        <f ca="1">TEXT(TODAY(),"mmmm d,yyyy")</f>
        <v>September 13,2021</v>
      </c>
      <c r="E42" s="287"/>
      <c r="I42" s="287" t="str">
        <f ca="1">CONCATENATE(A42,B42,C42,D42,E42,F42,G42,H42)</f>
        <v>* Date Generated:September 13,2021</v>
      </c>
    </row>
    <row r="43" spans="1:9" s="287" customFormat="1" ht="13.5">
      <c r="C43" s="287" t="s">
        <v>2448</v>
      </c>
      <c r="I43" s="287" t="str">
        <f>CONCATENATE(C43,D43,E43)</f>
        <v>*/</v>
      </c>
    </row>
    <row r="44" spans="1:9" s="287" customFormat="1" ht="13.5">
      <c r="I44" s="287" t="str">
        <f t="shared" ref="I44:I45" si="1">CONCATENATE(C44,D44,E44)</f>
        <v/>
      </c>
    </row>
    <row r="45" spans="1:9" s="287" customFormat="1" ht="13.5">
      <c r="I45" s="287" t="str">
        <f t="shared" si="1"/>
        <v/>
      </c>
    </row>
    <row r="46" spans="1:9" s="287" customFormat="1" ht="13.5">
      <c r="A46" s="287" t="s">
        <v>1186</v>
      </c>
      <c r="I46" s="287" t="str">
        <f t="shared" si="0"/>
        <v>hotmenu DDR_Controller_PHY_Config()</v>
      </c>
    </row>
    <row r="47" spans="1:9" s="287" customFormat="1" ht="13.5">
      <c r="A47" s="287" t="s">
        <v>1057</v>
      </c>
      <c r="I47" s="287" t="str">
        <f t="shared" si="0"/>
        <v>{</v>
      </c>
    </row>
    <row r="48" spans="1:9" s="287" customFormat="1" ht="13.5">
      <c r="A48" s="287" t="s">
        <v>1185</v>
      </c>
      <c r="I48" s="287" t="str">
        <f t="shared" si="0"/>
        <v xml:space="preserve">        unsigned int i;</v>
      </c>
    </row>
    <row r="49" spans="2:15" s="287" customFormat="1" ht="13.5">
      <c r="I49" s="287" t="str">
        <f t="shared" si="0"/>
        <v/>
      </c>
    </row>
    <row r="50" spans="2:15" s="287" customFormat="1" ht="13.5">
      <c r="B50" s="287" t="s">
        <v>444</v>
      </c>
      <c r="C50" s="288" t="s">
        <v>937</v>
      </c>
      <c r="I50" s="287" t="str">
        <f t="shared" si="0"/>
        <v>//-----------------------------------------------------------------------------</v>
      </c>
    </row>
    <row r="51" spans="2:15" s="287" customFormat="1" ht="13.5">
      <c r="B51" s="287" t="s">
        <v>444</v>
      </c>
      <c r="C51" s="287" t="s">
        <v>938</v>
      </c>
      <c r="I51" s="287" t="str">
        <f t="shared" si="0"/>
        <v>//Perform DDR subsystem configuration</v>
      </c>
    </row>
    <row r="52" spans="2:15" s="287" customFormat="1" ht="13.5">
      <c r="B52" s="287" t="s">
        <v>444</v>
      </c>
      <c r="C52" s="288" t="s">
        <v>937</v>
      </c>
      <c r="I52" s="287" t="str">
        <f t="shared" si="0"/>
        <v>//-----------------------------------------------------------------------------</v>
      </c>
    </row>
    <row r="53" spans="2:15" s="287" customFormat="1" ht="13.5">
      <c r="I53" s="287" t="str">
        <f t="shared" si="0"/>
        <v/>
      </c>
    </row>
    <row r="54" spans="2:15" s="287" customFormat="1" ht="13.5">
      <c r="C54" s="287" t="s">
        <v>753</v>
      </c>
      <c r="D54" s="287" t="s">
        <v>798</v>
      </c>
      <c r="E54" s="289" t="s">
        <v>448</v>
      </c>
      <c r="F54" s="287" t="str">
        <f>Registers!C23</f>
        <v>0x000073FF</v>
      </c>
      <c r="G54" s="287" t="s">
        <v>455</v>
      </c>
      <c r="H54" s="287" t="s">
        <v>484</v>
      </c>
      <c r="I54" s="287" t="str">
        <f t="shared" si="0"/>
        <v xml:space="preserve">Write_MMR(DDRSS_V2H_CTL_REG,0x000073FF); /* VBUSMC2HIF Control Register*/ </v>
      </c>
    </row>
    <row r="55" spans="2:15" s="287" customFormat="1" ht="13.5">
      <c r="E55" s="289"/>
      <c r="I55" s="287" t="str">
        <f t="shared" si="0"/>
        <v/>
      </c>
    </row>
    <row r="56" spans="2:15" s="287" customFormat="1" ht="13.5">
      <c r="B56" s="287" t="s">
        <v>444</v>
      </c>
      <c r="C56" s="288" t="s">
        <v>937</v>
      </c>
      <c r="E56" s="290"/>
      <c r="I56" s="287" t="str">
        <f t="shared" si="0"/>
        <v>//-----------------------------------------------------------------------------</v>
      </c>
    </row>
    <row r="57" spans="2:15" s="287" customFormat="1" ht="13.5">
      <c r="B57" s="287" t="s">
        <v>444</v>
      </c>
      <c r="C57" s="287" t="s">
        <v>939</v>
      </c>
      <c r="E57" s="290"/>
      <c r="I57" s="287" t="str">
        <f t="shared" si="0"/>
        <v>//Perform DDR controller configuration</v>
      </c>
    </row>
    <row r="58" spans="2:15" s="287" customFormat="1" ht="13.5">
      <c r="B58" s="287" t="s">
        <v>444</v>
      </c>
      <c r="C58" s="288" t="s">
        <v>937</v>
      </c>
      <c r="E58" s="290"/>
      <c r="I58" s="287" t="str">
        <f t="shared" si="0"/>
        <v>//-----------------------------------------------------------------------------</v>
      </c>
    </row>
    <row r="59" spans="2:15" s="287" customFormat="1" ht="13.5">
      <c r="C59" s="287" t="s">
        <v>753</v>
      </c>
      <c r="D59" s="287" t="str">
        <f>Registers!B29</f>
        <v>DDRSS_DDRCTL_MSTR</v>
      </c>
      <c r="E59" s="290" t="s">
        <v>448</v>
      </c>
      <c r="F59" s="287" t="str">
        <f>Registers!C34</f>
        <v>0x81040010</v>
      </c>
      <c r="G59" s="287" t="s">
        <v>455</v>
      </c>
      <c r="H59" s="287" t="s">
        <v>586</v>
      </c>
      <c r="I59" s="287" t="str">
        <f t="shared" si="0"/>
        <v xml:space="preserve">Write_MMR(DDRSS_DDRCTL_MSTR,0x81040010); /* Master Register 0 */ </v>
      </c>
    </row>
    <row r="60" spans="2:15" s="287" customFormat="1" ht="12.75" customHeight="1">
      <c r="C60" s="287" t="s">
        <v>753</v>
      </c>
      <c r="D60" s="287" t="str">
        <f>Registers!B358</f>
        <v>DDRSS_DDRCTL_RFSHCTL0</v>
      </c>
      <c r="E60" s="287" t="s">
        <v>448</v>
      </c>
      <c r="F60" s="287" t="str">
        <f>Registers!C363</f>
        <v>0x00210070</v>
      </c>
      <c r="G60" s="287" t="s">
        <v>455</v>
      </c>
      <c r="H60" s="291" t="s">
        <v>587</v>
      </c>
      <c r="I60" s="287" t="str">
        <f t="shared" si="0"/>
        <v xml:space="preserve">Write_MMR(DDRSS_DDRCTL_RFSHCTL0,0x00210070); /* Refresh Control Register 0 */ </v>
      </c>
      <c r="J60" s="291"/>
      <c r="L60" s="291"/>
      <c r="M60" s="292"/>
      <c r="N60" s="292"/>
      <c r="O60" s="291"/>
    </row>
    <row r="61" spans="2:15" s="287" customFormat="1" ht="12.75" customHeight="1">
      <c r="H61" s="291"/>
      <c r="I61" s="287" t="str">
        <f t="shared" si="0"/>
        <v/>
      </c>
      <c r="J61" s="291"/>
      <c r="L61" s="291"/>
      <c r="M61" s="292"/>
      <c r="N61" s="292"/>
      <c r="O61" s="291"/>
    </row>
    <row r="62" spans="2:15" s="287" customFormat="1" ht="12.75" customHeight="1">
      <c r="C62" s="287" t="s">
        <v>753</v>
      </c>
      <c r="D62" s="287" t="str">
        <f>Registers!B48</f>
        <v>DDRSS_DDRCTL_ECCCFG0</v>
      </c>
      <c r="E62" s="287" t="s">
        <v>448</v>
      </c>
      <c r="F62" s="287" t="str">
        <f>Registers!C53</f>
        <v>0x00000000</v>
      </c>
      <c r="G62" s="287" t="s">
        <v>455</v>
      </c>
      <c r="H62" s="291" t="s">
        <v>1348</v>
      </c>
      <c r="I62" s="287" t="str">
        <f t="shared" si="0"/>
        <v xml:space="preserve">Write_MMR(DDRSS_DDRCTL_ECCCFG0,0x00000000); /* ECC Configuration Register*/ </v>
      </c>
      <c r="M62" s="292"/>
      <c r="N62" s="292"/>
      <c r="O62" s="291"/>
    </row>
    <row r="63" spans="2:15" s="287" customFormat="1" ht="12.75" customHeight="1">
      <c r="I63" s="287" t="str">
        <f t="shared" si="0"/>
        <v/>
      </c>
      <c r="M63" s="292"/>
      <c r="N63" s="292"/>
      <c r="O63" s="291"/>
    </row>
    <row r="64" spans="2:15" s="287" customFormat="1" ht="13.5">
      <c r="C64" s="287" t="s">
        <v>753</v>
      </c>
      <c r="D64" s="287" t="str">
        <f>Registers!B38</f>
        <v>DDRSS_DDRCTL_RFSHTMG</v>
      </c>
      <c r="E64" s="287" t="s">
        <v>448</v>
      </c>
      <c r="F64" s="287" t="str">
        <f>Registers!C43</f>
        <v>0x00510075</v>
      </c>
      <c r="G64" s="287" t="s">
        <v>455</v>
      </c>
      <c r="H64" s="287" t="s">
        <v>535</v>
      </c>
      <c r="I64" s="287" t="str">
        <f t="shared" si="0"/>
        <v xml:space="preserve">Write_MMR(DDRSS_DDRCTL_RFSHTMG,0x00510075); /* Refresh Timing Register */ </v>
      </c>
    </row>
    <row r="65" spans="2:9" s="287" customFormat="1" ht="13.5">
      <c r="C65" s="287" t="s">
        <v>753</v>
      </c>
      <c r="D65" s="287" t="s">
        <v>775</v>
      </c>
      <c r="E65" s="287" t="s">
        <v>448</v>
      </c>
      <c r="F65" s="287" t="s">
        <v>1405</v>
      </c>
      <c r="G65" s="287" t="s">
        <v>455</v>
      </c>
      <c r="H65" s="287" t="s">
        <v>1406</v>
      </c>
      <c r="I65" s="287" t="str">
        <f t="shared" si="0"/>
        <v xml:space="preserve">Write_MMR(DDRSS_DDRCTL_CRCPARCTL0,0x00008000); /* CRC Parity Control Register0 */ </v>
      </c>
    </row>
    <row r="66" spans="2:9" s="287" customFormat="1" ht="13.5">
      <c r="C66" s="287" t="s">
        <v>753</v>
      </c>
      <c r="D66" s="287" t="str">
        <f>Registers!B368</f>
        <v>DDRSS_DDRCTL_CRCPARCTL1</v>
      </c>
      <c r="E66" s="287" t="s">
        <v>448</v>
      </c>
      <c r="F66" s="287" t="str">
        <f>Registers!C373</f>
        <v>0x1A000000</v>
      </c>
      <c r="G66" s="287" t="s">
        <v>455</v>
      </c>
      <c r="H66" s="287" t="s">
        <v>471</v>
      </c>
      <c r="I66" s="287" t="str">
        <f t="shared" si="0"/>
        <v xml:space="preserve">Write_MMR(DDRSS_DDRCTL_CRCPARCTL1,0x1A000000); /* CRC Parity Control Register1 */ </v>
      </c>
    </row>
    <row r="67" spans="2:9" s="287" customFormat="1" ht="13.5">
      <c r="C67" s="287" t="s">
        <v>753</v>
      </c>
      <c r="D67" s="287" t="str">
        <f>Registers!B378</f>
        <v>DDRSS_DDRCTL_CRCPARCTL2</v>
      </c>
      <c r="E67" s="287" t="s">
        <v>448</v>
      </c>
      <c r="F67" s="287" t="str">
        <f>Registers!C383</f>
        <v>0x0048051E</v>
      </c>
      <c r="G67" s="287" t="s">
        <v>455</v>
      </c>
      <c r="H67" s="287" t="s">
        <v>1407</v>
      </c>
      <c r="I67" s="287" t="str">
        <f t="shared" si="0"/>
        <v xml:space="preserve">Write_MMR(DDRSS_DDRCTL_CRCPARCTL2,0x0048051E); /* CRC Parity Control Register2 */ </v>
      </c>
    </row>
    <row r="68" spans="2:9" s="287" customFormat="1" ht="13.5">
      <c r="C68" s="287" t="s">
        <v>753</v>
      </c>
      <c r="D68" s="287" t="str">
        <f>Registers!B264</f>
        <v>DDRSS_DDRCTL_INIT0</v>
      </c>
      <c r="E68" s="287" t="s">
        <v>448</v>
      </c>
      <c r="F68" s="287" t="str">
        <f>Registers!C269</f>
        <v>0x400100A3</v>
      </c>
      <c r="G68" s="287" t="s">
        <v>455</v>
      </c>
      <c r="H68" s="287" t="s">
        <v>467</v>
      </c>
      <c r="I68" s="287" t="str">
        <f t="shared" si="0"/>
        <v xml:space="preserve">Write_MMR(DDRSS_DDRCTL_INIT0,0x400100A3); /* SDRAM Initialization Register 0 */ </v>
      </c>
    </row>
    <row r="69" spans="2:9" s="287" customFormat="1" ht="13.5">
      <c r="C69" s="287" t="s">
        <v>753</v>
      </c>
      <c r="D69" s="287" t="str">
        <f>Registers!B274</f>
        <v>DDRSS_DDRCTL_INIT1</v>
      </c>
      <c r="E69" s="287" t="s">
        <v>448</v>
      </c>
      <c r="F69" s="287" t="str">
        <f>Registers!C279</f>
        <v>0x00420000</v>
      </c>
      <c r="G69" s="287" t="s">
        <v>455</v>
      </c>
      <c r="H69" s="287" t="s">
        <v>624</v>
      </c>
      <c r="I69" s="287" t="str">
        <f t="shared" si="0"/>
        <v xml:space="preserve">Write_MMR(DDRSS_DDRCTL_INIT1,0x00420000); /* SDRAM Initialization Register 1 */ </v>
      </c>
    </row>
    <row r="70" spans="2:9" s="287" customFormat="1" ht="13.5">
      <c r="C70" s="287" t="s">
        <v>753</v>
      </c>
      <c r="D70" s="287" t="str">
        <f>Registers!B285</f>
        <v>DDRSS_DDRCTL_INIT3</v>
      </c>
      <c r="E70" s="287" t="s">
        <v>448</v>
      </c>
      <c r="F70" s="287" t="str">
        <f>Registers!C290</f>
        <v>0x00140501</v>
      </c>
      <c r="G70" s="287" t="s">
        <v>455</v>
      </c>
      <c r="H70" s="287" t="s">
        <v>625</v>
      </c>
      <c r="I70" s="287" t="str">
        <f t="shared" si="0"/>
        <v xml:space="preserve">Write_MMR(DDRSS_DDRCTL_INIT3,0x00140501); /* SDRAM Initialization Register 3 */ </v>
      </c>
    </row>
    <row r="71" spans="2:9" s="287" customFormat="1" ht="13.5">
      <c r="C71" s="287" t="s">
        <v>753</v>
      </c>
      <c r="D71" s="287" t="str">
        <f>Registers!B294</f>
        <v>DDRSS_DDRCTL_INIT4</v>
      </c>
      <c r="E71" s="287" t="s">
        <v>448</v>
      </c>
      <c r="F71" s="287" t="str">
        <f>Registers!C299</f>
        <v>0x00000020</v>
      </c>
      <c r="G71" s="287" t="s">
        <v>455</v>
      </c>
      <c r="H71" s="287" t="s">
        <v>626</v>
      </c>
      <c r="I71" s="287" t="str">
        <f t="shared" si="0"/>
        <v xml:space="preserve">Write_MMR(DDRSS_DDRCTL_INIT4,0x00000020); /* SDRAM Initialization Register 4 */ </v>
      </c>
    </row>
    <row r="72" spans="2:9" s="287" customFormat="1" ht="13.5">
      <c r="C72" s="287" t="s">
        <v>753</v>
      </c>
      <c r="D72" s="287" t="str">
        <f>Registers!B303</f>
        <v>DDRSS_DDRCTL_INIT5</v>
      </c>
      <c r="E72" s="287" t="s">
        <v>448</v>
      </c>
      <c r="F72" s="287" t="str">
        <f>Registers!C308</f>
        <v>0x00100000</v>
      </c>
      <c r="G72" s="287" t="s">
        <v>455</v>
      </c>
      <c r="H72" s="287" t="s">
        <v>629</v>
      </c>
      <c r="I72" s="287" t="str">
        <f t="shared" si="0"/>
        <v xml:space="preserve">Write_MMR(DDRSS_DDRCTL_INIT5,0x00100000); /* SDRAM Initialization Register 5 */ </v>
      </c>
    </row>
    <row r="73" spans="2:9" s="287" customFormat="1" ht="13.5">
      <c r="B73" s="287" t="str">
        <f>IF(Memory_Type="DDR3L","//","")</f>
        <v/>
      </c>
      <c r="C73" s="287" t="s">
        <v>753</v>
      </c>
      <c r="D73" s="287" t="str">
        <f>Registers!B310</f>
        <v>DDRSS_DDRCTL_INIT6</v>
      </c>
      <c r="E73" s="287" t="s">
        <v>448</v>
      </c>
      <c r="F73" s="287" t="str">
        <f>Registers!C315</f>
        <v>0x00000480</v>
      </c>
      <c r="G73" s="287" t="s">
        <v>455</v>
      </c>
      <c r="H73" s="287" t="s">
        <v>627</v>
      </c>
      <c r="I73" s="287" t="str">
        <f t="shared" si="0"/>
        <v xml:space="preserve">Write_MMR(DDRSS_DDRCTL_INIT6,0x00000480); /* SDRAM Initialization Register 6 */ </v>
      </c>
    </row>
    <row r="74" spans="2:9" s="287" customFormat="1" ht="13.5">
      <c r="B74" s="287" t="str">
        <f>IF(Memory_Type="DDR3L","//","")</f>
        <v/>
      </c>
      <c r="C74" s="287" t="s">
        <v>753</v>
      </c>
      <c r="D74" s="287" t="str">
        <f>Registers!B317</f>
        <v>DDRSS_DDRCTL_INIT7</v>
      </c>
      <c r="E74" s="287" t="s">
        <v>448</v>
      </c>
      <c r="F74" s="287" t="str">
        <f>Registers!C322</f>
        <v>0x00000097</v>
      </c>
      <c r="G74" s="287" t="s">
        <v>455</v>
      </c>
      <c r="H74" s="287" t="s">
        <v>628</v>
      </c>
      <c r="I74" s="287" t="str">
        <f t="shared" si="0"/>
        <v xml:space="preserve">Write_MMR(DDRSS_DDRCTL_INIT7,0x00000097); /* SDRAM Initialization Register 7 */ </v>
      </c>
    </row>
    <row r="75" spans="2:9" s="287" customFormat="1" ht="13.5">
      <c r="C75" s="287" t="s">
        <v>753</v>
      </c>
      <c r="D75" s="287" t="str">
        <f>Registers!B100</f>
        <v>DDRSS_DDRCTL_DRAMTMG0</v>
      </c>
      <c r="E75" s="287" t="s">
        <v>448</v>
      </c>
      <c r="F75" s="287" t="str">
        <f>Registers!C105</f>
        <v>0x0B0A160B</v>
      </c>
      <c r="G75" s="287" t="s">
        <v>455</v>
      </c>
      <c r="H75" s="287" t="s">
        <v>489</v>
      </c>
      <c r="I75" s="287" t="str">
        <f t="shared" si="0"/>
        <v xml:space="preserve">Write_MMR(DDRSS_DDRCTL_DRAMTMG0,0x0B0A160B); /* SDRAM Timing Register 0 */ </v>
      </c>
    </row>
    <row r="76" spans="2:9" s="287" customFormat="1" ht="13.5">
      <c r="C76" s="287" t="s">
        <v>753</v>
      </c>
      <c r="D76" s="287" t="str">
        <f>Registers!B111</f>
        <v>DDRSS_DDRCTL_DRAMTMG1</v>
      </c>
      <c r="E76" s="287" t="s">
        <v>448</v>
      </c>
      <c r="F76" s="287" t="str">
        <f>Registers!C116</f>
        <v>0x00020310</v>
      </c>
      <c r="G76" s="287" t="s">
        <v>455</v>
      </c>
      <c r="H76" s="287" t="s">
        <v>490</v>
      </c>
      <c r="I76" s="287" t="str">
        <f t="shared" si="0"/>
        <v xml:space="preserve">Write_MMR(DDRSS_DDRCTL_DRAMTMG1,0x00020310); /* SDRAM Timing Register 1 */ </v>
      </c>
    </row>
    <row r="77" spans="2:9" s="287" customFormat="1" ht="13.5">
      <c r="C77" s="287" t="s">
        <v>753</v>
      </c>
      <c r="D77" s="287" t="str">
        <f>Registers!B122</f>
        <v>DDRSS_DDRCTL_DRAMTMG2</v>
      </c>
      <c r="E77" s="287" t="s">
        <v>448</v>
      </c>
      <c r="F77" s="287" t="str">
        <f>Registers!C127</f>
        <v>0x05060509</v>
      </c>
      <c r="G77" s="287" t="s">
        <v>455</v>
      </c>
      <c r="H77" s="287" t="s">
        <v>472</v>
      </c>
      <c r="I77" s="287" t="str">
        <f t="shared" si="0"/>
        <v xml:space="preserve">Write_MMR(DDRSS_DDRCTL_DRAMTMG2,0x05060509); /* SDRAM Timing Register 2 */ </v>
      </c>
    </row>
    <row r="78" spans="2:9" s="287" customFormat="1" ht="13.5">
      <c r="C78" s="287" t="s">
        <v>753</v>
      </c>
      <c r="D78" s="287" t="str">
        <f>Registers!B133</f>
        <v>DDRSS_DDRCTL_DRAMTMG3</v>
      </c>
      <c r="E78" s="287" t="s">
        <v>448</v>
      </c>
      <c r="F78" s="287" t="str">
        <f>Registers!C138</f>
        <v>0x0000400C</v>
      </c>
      <c r="G78" s="287" t="s">
        <v>455</v>
      </c>
      <c r="H78" s="287" t="s">
        <v>473</v>
      </c>
      <c r="I78" s="287" t="str">
        <f t="shared" si="0"/>
        <v xml:space="preserve">Write_MMR(DDRSS_DDRCTL_DRAMTMG3,0x0000400C); /* SDRAM Timing Register 3 */ </v>
      </c>
    </row>
    <row r="79" spans="2:9" s="287" customFormat="1" ht="13.5">
      <c r="C79" s="287" t="s">
        <v>753</v>
      </c>
      <c r="D79" s="287" t="str">
        <f>Registers!B144</f>
        <v>DDRSS_DDRCTL_DRAMTMG4</v>
      </c>
      <c r="E79" s="287" t="s">
        <v>448</v>
      </c>
      <c r="F79" s="287" t="str">
        <f>Registers!C149</f>
        <v>0x05020205</v>
      </c>
      <c r="G79" s="287" t="s">
        <v>455</v>
      </c>
      <c r="H79" s="287" t="s">
        <v>491</v>
      </c>
      <c r="I79" s="287" t="str">
        <f t="shared" si="0"/>
        <v xml:space="preserve">Write_MMR(DDRSS_DDRCTL_DRAMTMG4,0x05020205); /* SDRAM Timing Register 4 */ </v>
      </c>
    </row>
    <row r="80" spans="2:9" s="287" customFormat="1" ht="13.5">
      <c r="C80" s="287" t="s">
        <v>753</v>
      </c>
      <c r="D80" s="287" t="str">
        <f>Registers!B154</f>
        <v>DDRSS_DDRCTL_DRAMTMG5</v>
      </c>
      <c r="E80" s="287" t="s">
        <v>448</v>
      </c>
      <c r="F80" s="287" t="str">
        <f>Registers!C159</f>
        <v>0x04040302</v>
      </c>
      <c r="G80" s="287" t="s">
        <v>455</v>
      </c>
      <c r="H80" s="287" t="s">
        <v>492</v>
      </c>
      <c r="I80" s="287" t="str">
        <f t="shared" si="0"/>
        <v xml:space="preserve">Write_MMR(DDRSS_DDRCTL_DRAMTMG5,0x04040302); /* SDRAM Timing Register 5 */ </v>
      </c>
    </row>
    <row r="81" spans="2:9" s="287" customFormat="1" ht="13.5">
      <c r="C81" s="287" t="s">
        <v>753</v>
      </c>
      <c r="D81" s="287" t="str">
        <f>Registers!B164</f>
        <v>DDRSS_DDRCTL_DRAMTMG6</v>
      </c>
      <c r="E81" s="287" t="s">
        <v>448</v>
      </c>
      <c r="F81" s="287" t="str">
        <f>Registers!C169</f>
        <v>0x00000003</v>
      </c>
      <c r="G81" s="287" t="s">
        <v>455</v>
      </c>
      <c r="H81" s="287" t="s">
        <v>493</v>
      </c>
      <c r="I81" s="287" t="str">
        <f t="shared" si="0"/>
        <v xml:space="preserve">Write_MMR(DDRSS_DDRCTL_DRAMTMG6,0x00000003); /* SDRAM Timing Register 6 */ </v>
      </c>
    </row>
    <row r="82" spans="2:9" s="287" customFormat="1" ht="13.5">
      <c r="C82" s="287" t="s">
        <v>753</v>
      </c>
      <c r="D82" s="287" t="str">
        <f>Registers!B174</f>
        <v>DDRSS_DDRCTL_DRAMTMG7</v>
      </c>
      <c r="E82" s="287" t="s">
        <v>448</v>
      </c>
      <c r="F82" s="287" t="str">
        <f>Registers!C179</f>
        <v>0x00000404</v>
      </c>
      <c r="G82" s="287" t="s">
        <v>455</v>
      </c>
      <c r="H82" s="287" t="s">
        <v>494</v>
      </c>
      <c r="I82" s="287" t="str">
        <f t="shared" si="0"/>
        <v xml:space="preserve">Write_MMR(DDRSS_DDRCTL_DRAMTMG7,0x00000404); /* SDRAM Timing Register 7 */ </v>
      </c>
    </row>
    <row r="83" spans="2:9" s="287" customFormat="1" ht="13.5">
      <c r="C83" s="287" t="s">
        <v>753</v>
      </c>
      <c r="D83" s="287" t="str">
        <f>Registers!B184</f>
        <v>DDRSS_DDRCTL_DRAMTMG8</v>
      </c>
      <c r="E83" s="287" t="s">
        <v>448</v>
      </c>
      <c r="F83" s="287" t="str">
        <f>Registers!C189</f>
        <v>0x02020C04</v>
      </c>
      <c r="G83" s="287" t="s">
        <v>455</v>
      </c>
      <c r="H83" s="287" t="s">
        <v>495</v>
      </c>
      <c r="I83" s="287" t="str">
        <f t="shared" si="0"/>
        <v xml:space="preserve">Write_MMR(DDRSS_DDRCTL_DRAMTMG8,0x02020C04); /* SDRAM Timing Register 8 */ </v>
      </c>
    </row>
    <row r="84" spans="2:9" s="287" customFormat="1" ht="13.5">
      <c r="C84" s="287" t="s">
        <v>753</v>
      </c>
      <c r="D84" s="287" t="str">
        <f>Registers!B195</f>
        <v>DDRSS_DDRCTL_DRAMTMG9</v>
      </c>
      <c r="E84" s="287" t="s">
        <v>448</v>
      </c>
      <c r="F84" s="287" t="str">
        <f>Registers!C200</f>
        <v>0x00020208</v>
      </c>
      <c r="G84" s="287" t="s">
        <v>455</v>
      </c>
      <c r="H84" s="287" t="s">
        <v>496</v>
      </c>
      <c r="I84" s="287" t="str">
        <f t="shared" si="0"/>
        <v xml:space="preserve">Write_MMR(DDRSS_DDRCTL_DRAMTMG9,0x00020208); /* SDRAM Timing Register 9 */ </v>
      </c>
    </row>
    <row r="85" spans="2:9" s="287" customFormat="1" ht="13.5">
      <c r="B85" s="287" t="s">
        <v>444</v>
      </c>
      <c r="C85" s="287" t="s">
        <v>753</v>
      </c>
      <c r="D85" s="287" t="s">
        <v>776</v>
      </c>
      <c r="E85" s="287" t="s">
        <v>448</v>
      </c>
      <c r="F85" s="287" t="s">
        <v>1424</v>
      </c>
      <c r="G85" s="287" t="s">
        <v>455</v>
      </c>
      <c r="H85" s="287" t="s">
        <v>497</v>
      </c>
      <c r="I85" s="287" t="str">
        <f t="shared" si="0"/>
        <v xml:space="preserve">//Write_MMR(DDRSS_DDRCTL_DRAMTMG10,0x001C180A); /* SDRAM Timing Register 10 */ </v>
      </c>
    </row>
    <row r="86" spans="2:9" s="287" customFormat="1" ht="13.5">
      <c r="C86" s="287" t="s">
        <v>753</v>
      </c>
      <c r="D86" s="287" t="str">
        <f>Registers!B204</f>
        <v>DDRSS_DDRCTL_DRAMTMG11</v>
      </c>
      <c r="E86" s="287" t="s">
        <v>448</v>
      </c>
      <c r="F86" s="287" t="str">
        <f>Registers!C209</f>
        <v>0x1005010E</v>
      </c>
      <c r="G86" s="287" t="s">
        <v>455</v>
      </c>
      <c r="H86" s="287" t="s">
        <v>498</v>
      </c>
      <c r="I86" s="287" t="str">
        <f t="shared" si="0"/>
        <v xml:space="preserve">Write_MMR(DDRSS_DDRCTL_DRAMTMG11,0x1005010E); /* SDRAM Timing Register 11 */ </v>
      </c>
    </row>
    <row r="87" spans="2:9" s="287" customFormat="1" ht="13.5">
      <c r="C87" s="287" t="s">
        <v>753</v>
      </c>
      <c r="D87" s="287" t="str">
        <f>Registers!B214</f>
        <v>DDRSS_DDRCTL_DRAMTMG12</v>
      </c>
      <c r="E87" s="287" t="s">
        <v>448</v>
      </c>
      <c r="F87" s="287" t="str">
        <f>Registers!C219</f>
        <v>0x00020008</v>
      </c>
      <c r="G87" s="287" t="s">
        <v>455</v>
      </c>
      <c r="H87" s="287" t="s">
        <v>499</v>
      </c>
      <c r="I87" s="287" t="str">
        <f t="shared" si="0"/>
        <v xml:space="preserve">Write_MMR(DDRSS_DDRCTL_DRAMTMG12,0x00020008); /* SDRAM Timing Register 12 */ </v>
      </c>
    </row>
    <row r="88" spans="2:9" s="287" customFormat="1" ht="13.5">
      <c r="C88" s="287" t="s">
        <v>753</v>
      </c>
      <c r="D88" s="287" t="str">
        <f>Registers!B224</f>
        <v>DDRSS_DDRCTL_DRAMTMG13</v>
      </c>
      <c r="E88" s="287" t="s">
        <v>448</v>
      </c>
      <c r="F88" s="287" t="str">
        <f>Registers!C229</f>
        <v>0x0B100002</v>
      </c>
      <c r="G88" s="287" t="s">
        <v>455</v>
      </c>
      <c r="H88" s="287" t="s">
        <v>500</v>
      </c>
      <c r="I88" s="287" t="str">
        <f t="shared" si="0"/>
        <v xml:space="preserve">Write_MMR(DDRSS_DDRCTL_DRAMTMG13,0x0B100002); /* SDRAM Timing Register 13 */ </v>
      </c>
    </row>
    <row r="89" spans="2:9" s="287" customFormat="1" ht="13.5">
      <c r="C89" s="287" t="s">
        <v>753</v>
      </c>
      <c r="D89" s="287" t="s">
        <v>777</v>
      </c>
      <c r="E89" s="287" t="s">
        <v>448</v>
      </c>
      <c r="F89" s="287" t="s">
        <v>135</v>
      </c>
      <c r="G89" s="287" t="s">
        <v>455</v>
      </c>
      <c r="H89" s="287" t="s">
        <v>501</v>
      </c>
      <c r="I89" s="287" t="str">
        <f t="shared" si="0"/>
        <v xml:space="preserve">Write_MMR(DDRSS_DDRCTL_DRAMTMG14,0x00000000); /* SDRAM Timing Register 14 */ </v>
      </c>
    </row>
    <row r="90" spans="2:9" s="287" customFormat="1" ht="13.5">
      <c r="C90" s="287" t="s">
        <v>753</v>
      </c>
      <c r="D90" s="287" t="str">
        <f>Registers!B244</f>
        <v>DDRSS_DDRCTL_DRAMTMG15</v>
      </c>
      <c r="E90" s="287" t="s">
        <v>448</v>
      </c>
      <c r="F90" s="287" t="str">
        <f>Registers!C249</f>
        <v>0x00000035</v>
      </c>
      <c r="G90" s="287" t="s">
        <v>455</v>
      </c>
      <c r="H90" s="287" t="s">
        <v>502</v>
      </c>
      <c r="I90" s="287" t="str">
        <f t="shared" si="0"/>
        <v xml:space="preserve">Write_MMR(DDRSS_DDRCTL_DRAMTMG15,0x00000035); /* SDRAM Timing Register 15 */ </v>
      </c>
    </row>
    <row r="91" spans="2:9" s="287" customFormat="1" ht="13.5">
      <c r="C91" s="287" t="s">
        <v>753</v>
      </c>
      <c r="D91" s="287" t="str">
        <f>Registers!B254</f>
        <v>DDRSS_DDRCTL_DRAMTMG17</v>
      </c>
      <c r="E91" s="287" t="s">
        <v>448</v>
      </c>
      <c r="F91" s="287" t="str">
        <f>Registers!C259</f>
        <v>0x00430022</v>
      </c>
      <c r="G91" s="287" t="s">
        <v>455</v>
      </c>
      <c r="H91" s="287" t="s">
        <v>503</v>
      </c>
      <c r="I91" s="287" t="str">
        <f t="shared" si="0"/>
        <v xml:space="preserve">Write_MMR(DDRSS_DDRCTL_DRAMTMG17,0x00430022); /* SDRAM Timing Register 17 */ </v>
      </c>
    </row>
    <row r="92" spans="2:9" s="287" customFormat="1" ht="13.5">
      <c r="C92" s="287" t="s">
        <v>753</v>
      </c>
      <c r="D92" s="287" t="str">
        <f>Registers!B327</f>
        <v>DDRSS_DDRCTL_ZQCTL0</v>
      </c>
      <c r="E92" s="287" t="s">
        <v>448</v>
      </c>
      <c r="F92" s="287" t="str">
        <f>Registers!C332</f>
        <v>0x21000040</v>
      </c>
      <c r="G92" s="287" t="s">
        <v>455</v>
      </c>
      <c r="H92" s="287" t="s">
        <v>566</v>
      </c>
      <c r="I92" s="287" t="str">
        <f t="shared" si="0"/>
        <v xml:space="preserve">Write_MMR(DDRSS_DDRCTL_ZQCTL0,0x21000040); /* ZQ Control Register 0 */   </v>
      </c>
    </row>
    <row r="93" spans="2:9" s="287" customFormat="1" ht="13.5">
      <c r="C93" s="287" t="s">
        <v>753</v>
      </c>
      <c r="D93" s="287" t="str">
        <f>Registers!B337</f>
        <v>DDRSS_DDRCTL_ZQCTL1</v>
      </c>
      <c r="E93" s="287" t="s">
        <v>448</v>
      </c>
      <c r="F93" s="287" t="str">
        <f>Registers!C342</f>
        <v>0x02027BC8</v>
      </c>
      <c r="G93" s="287" t="s">
        <v>455</v>
      </c>
      <c r="H93" s="287" t="s">
        <v>567</v>
      </c>
      <c r="I93" s="287" t="str">
        <f t="shared" si="0"/>
        <v xml:space="preserve">Write_MMR(DDRSS_DDRCTL_ZQCTL1,0x02027BC8); /* ZQ Control Register 1 */   </v>
      </c>
    </row>
    <row r="94" spans="2:9" s="287" customFormat="1" ht="13.5">
      <c r="C94" s="287" t="s">
        <v>753</v>
      </c>
      <c r="D94" s="287" t="str">
        <f>Registers!B71</f>
        <v>DDRSS_DDRCTL_DFITMG0</v>
      </c>
      <c r="E94" s="287" t="s">
        <v>448</v>
      </c>
      <c r="F94" s="287" t="str">
        <f>Registers!C76</f>
        <v>0x04888206</v>
      </c>
      <c r="G94" s="287" t="s">
        <v>455</v>
      </c>
      <c r="H94" s="287" t="s">
        <v>468</v>
      </c>
      <c r="I94" s="287" t="str">
        <f t="shared" si="0"/>
        <v xml:space="preserve">Write_MMR(DDRSS_DDRCTL_DFITMG0,0x04888206); /* DFI Timing Register 0 */ </v>
      </c>
    </row>
    <row r="95" spans="2:9" s="287" customFormat="1" ht="13.5">
      <c r="C95" s="287" t="s">
        <v>753</v>
      </c>
      <c r="D95" s="287" t="str">
        <f>Registers!B81</f>
        <v>DDRSS_DDRCTL_DFITMG1</v>
      </c>
      <c r="E95" s="287" t="s">
        <v>448</v>
      </c>
      <c r="F95" s="287" t="str">
        <f>Registers!C86</f>
        <v>0x000A0606</v>
      </c>
      <c r="G95" s="287" t="s">
        <v>455</v>
      </c>
      <c r="H95" s="287" t="s">
        <v>469</v>
      </c>
      <c r="I95" s="287" t="str">
        <f t="shared" si="0"/>
        <v xml:space="preserve">Write_MMR(DDRSS_DDRCTL_DFITMG1,0x000A0606); /* DFI Timing Register 1 */ </v>
      </c>
    </row>
    <row r="96" spans="2:9" s="287" customFormat="1" ht="13.5">
      <c r="C96" s="287" t="s">
        <v>753</v>
      </c>
      <c r="D96" s="287" t="str">
        <f>Registers!B91</f>
        <v>DDRSS_DDRCTL_DFITMG2</v>
      </c>
      <c r="E96" s="287" t="s">
        <v>448</v>
      </c>
      <c r="F96" s="287" t="str">
        <f>Registers!C96</f>
        <v>0x00000604</v>
      </c>
      <c r="G96" s="287" t="s">
        <v>455</v>
      </c>
      <c r="H96" s="287" t="s">
        <v>470</v>
      </c>
      <c r="I96" s="287" t="str">
        <f t="shared" si="0"/>
        <v xml:space="preserve">Write_MMR(DDRSS_DDRCTL_DFITMG2,0x00000604); /* DFI Timing Register 2 */ </v>
      </c>
    </row>
    <row r="97" spans="1:10" ht="13.5">
      <c r="A97" s="287"/>
      <c r="B97" s="287"/>
      <c r="C97" s="287" t="s">
        <v>753</v>
      </c>
      <c r="D97" s="287" t="s">
        <v>796</v>
      </c>
      <c r="E97" s="287" t="s">
        <v>448</v>
      </c>
      <c r="F97" s="287" t="str">
        <f>Registers!C65</f>
        <v>0x00000001</v>
      </c>
      <c r="G97" s="287" t="s">
        <v>455</v>
      </c>
      <c r="H97" s="287" t="s">
        <v>1315</v>
      </c>
      <c r="I97" s="287" t="str">
        <f>CONCATENATE(A97,B97,C97,D97,E97,F97,G97,H97)</f>
        <v xml:space="preserve">Write_MMR(DDRSS_DDRCTL_DFIMISC,0x00000001); /* switch polarity of CS signals for LPDDR4*/           </v>
      </c>
      <c r="J97" s="287"/>
    </row>
    <row r="98" spans="1:10" ht="13.5">
      <c r="A98" s="287"/>
      <c r="B98" s="287"/>
      <c r="C98" s="287" t="s">
        <v>753</v>
      </c>
      <c r="D98" s="287" t="s">
        <v>778</v>
      </c>
      <c r="E98" s="287" t="s">
        <v>448</v>
      </c>
      <c r="F98" s="287" t="str">
        <f>Registers!C393</f>
        <v>0x0000001F</v>
      </c>
      <c r="G98" s="287" t="s">
        <v>455</v>
      </c>
      <c r="H98" s="287" t="s">
        <v>478</v>
      </c>
      <c r="I98" s="287" t="str">
        <f t="shared" si="0"/>
        <v xml:space="preserve">Write_MMR(DDRSS_DDRCTL_ADDRMAP0,0x0000001F); /* Address Map Register 0 */           </v>
      </c>
      <c r="J98" s="287"/>
    </row>
    <row r="99" spans="1:10" ht="13.5">
      <c r="A99" s="287"/>
      <c r="B99" s="287"/>
      <c r="C99" s="287" t="s">
        <v>753</v>
      </c>
      <c r="D99" s="287" t="s">
        <v>779</v>
      </c>
      <c r="E99" s="287" t="s">
        <v>448</v>
      </c>
      <c r="F99" s="287" t="str">
        <f>Registers!C404</f>
        <v>0x003F0808</v>
      </c>
      <c r="G99" s="287" t="s">
        <v>455</v>
      </c>
      <c r="H99" s="287" t="s">
        <v>476</v>
      </c>
      <c r="I99" s="287" t="str">
        <f t="shared" si="0"/>
        <v xml:space="preserve">Write_MMR(DDRSS_DDRCTL_ADDRMAP1,0x003F0808); /* Address Map Register 1 */ </v>
      </c>
      <c r="J99" s="287"/>
    </row>
    <row r="100" spans="1:10" ht="13.5">
      <c r="A100" s="287"/>
      <c r="B100" s="287"/>
      <c r="C100" s="287" t="s">
        <v>753</v>
      </c>
      <c r="D100" s="287" t="s">
        <v>780</v>
      </c>
      <c r="E100" s="287" t="s">
        <v>448</v>
      </c>
      <c r="F100" s="287" t="str">
        <f>Registers!C415</f>
        <v>0x00000000</v>
      </c>
      <c r="G100" s="287" t="s">
        <v>455</v>
      </c>
      <c r="H100" s="287" t="s">
        <v>486</v>
      </c>
      <c r="I100" s="287" t="str">
        <f t="shared" si="0"/>
        <v xml:space="preserve">Write_MMR(DDRSS_DDRCTL_ADDRMAP2,0x00000000); /* Address Map Register 2 */ </v>
      </c>
      <c r="J100" s="287"/>
    </row>
    <row r="101" spans="1:10" ht="13.5">
      <c r="A101" s="287"/>
      <c r="B101" s="287"/>
      <c r="C101" s="287" t="s">
        <v>753</v>
      </c>
      <c r="D101" s="287" t="s">
        <v>781</v>
      </c>
      <c r="E101" s="287" t="s">
        <v>448</v>
      </c>
      <c r="F101" s="287" t="str">
        <f>Registers!C427</f>
        <v>0x00000000</v>
      </c>
      <c r="G101" s="287" t="s">
        <v>455</v>
      </c>
      <c r="H101" s="287" t="s">
        <v>474</v>
      </c>
      <c r="I101" s="287" t="str">
        <f t="shared" si="0"/>
        <v xml:space="preserve">Write_MMR(DDRSS_DDRCTL_ADDRMAP3,0x00000000); /* Address Map Register 3 */ </v>
      </c>
      <c r="J101" s="287"/>
    </row>
    <row r="102" spans="1:10" ht="13.5">
      <c r="A102" s="287"/>
      <c r="B102" s="287"/>
      <c r="C102" s="287" t="s">
        <v>753</v>
      </c>
      <c r="D102" s="287" t="s">
        <v>782</v>
      </c>
      <c r="E102" s="287" t="s">
        <v>448</v>
      </c>
      <c r="F102" s="287" t="str">
        <f>Registers!C438</f>
        <v>0x00001F1F</v>
      </c>
      <c r="G102" s="287" t="s">
        <v>455</v>
      </c>
      <c r="H102" s="287" t="s">
        <v>475</v>
      </c>
      <c r="I102" s="287" t="str">
        <f t="shared" si="0"/>
        <v xml:space="preserve">Write_MMR(DDRSS_DDRCTL_ADDRMAP4,0x00001F1F); /* Address Map Register 4 */ </v>
      </c>
      <c r="J102" s="287"/>
    </row>
    <row r="103" spans="1:10" ht="13.5">
      <c r="A103" s="287"/>
      <c r="B103" s="287"/>
      <c r="C103" s="287" t="s">
        <v>753</v>
      </c>
      <c r="D103" s="287" t="s">
        <v>783</v>
      </c>
      <c r="E103" s="287" t="s">
        <v>448</v>
      </c>
      <c r="F103" s="287" t="str">
        <f>Registers!C449</f>
        <v>0x07070707</v>
      </c>
      <c r="G103" s="287" t="s">
        <v>455</v>
      </c>
      <c r="H103" s="287" t="s">
        <v>485</v>
      </c>
      <c r="I103" s="287" t="str">
        <f t="shared" si="0"/>
        <v xml:space="preserve">Write_MMR(DDRSS_DDRCTL_ADDRMAP5,0x07070707); /* Address Map Register 5 */ </v>
      </c>
      <c r="J103" s="287"/>
    </row>
    <row r="104" spans="1:10" ht="13.5">
      <c r="A104" s="287"/>
      <c r="B104" s="287"/>
      <c r="C104" s="287" t="s">
        <v>753</v>
      </c>
      <c r="D104" s="287" t="s">
        <v>784</v>
      </c>
      <c r="E104" s="287" t="s">
        <v>448</v>
      </c>
      <c r="F104" s="287" t="str">
        <f>Registers!C459</f>
        <v>0x0F070707</v>
      </c>
      <c r="G104" s="287" t="s">
        <v>455</v>
      </c>
      <c r="H104" s="287" t="s">
        <v>479</v>
      </c>
      <c r="I104" s="287" t="str">
        <f t="shared" si="0"/>
        <v xml:space="preserve">Write_MMR(DDRSS_DDRCTL_ADDRMAP6,0x0F070707); /* Address Map Register 6 */ </v>
      </c>
      <c r="J104" s="287"/>
    </row>
    <row r="105" spans="1:10" ht="13.5">
      <c r="A105" s="287"/>
      <c r="B105" s="287"/>
      <c r="C105" s="287" t="s">
        <v>753</v>
      </c>
      <c r="D105" s="287" t="s">
        <v>785</v>
      </c>
      <c r="E105" s="287" t="s">
        <v>448</v>
      </c>
      <c r="F105" s="287" t="str">
        <f>Registers!C469</f>
        <v>0x00000F0F</v>
      </c>
      <c r="G105" s="287" t="s">
        <v>455</v>
      </c>
      <c r="H105" s="291" t="s">
        <v>480</v>
      </c>
      <c r="I105" s="287" t="str">
        <f t="shared" si="0"/>
        <v xml:space="preserve">Write_MMR(DDRSS_DDRCTL_ADDRMAP7,0x00000F0F); /* Address Map Register 7 */ </v>
      </c>
      <c r="J105" s="291"/>
    </row>
    <row r="106" spans="1:10" ht="13.5">
      <c r="A106" s="287"/>
      <c r="B106" s="287"/>
      <c r="C106" s="287" t="s">
        <v>753</v>
      </c>
      <c r="D106" s="287" t="s">
        <v>786</v>
      </c>
      <c r="E106" s="287" t="s">
        <v>448</v>
      </c>
      <c r="F106" s="287" t="str">
        <f>Registers!C479</f>
        <v>0x00003F0A</v>
      </c>
      <c r="G106" s="287" t="s">
        <v>455</v>
      </c>
      <c r="H106" s="287" t="s">
        <v>477</v>
      </c>
      <c r="I106" s="287" t="str">
        <f t="shared" si="0"/>
        <v xml:space="preserve">Write_MMR(DDRSS_DDRCTL_ADDRMAP8,0x00003F0A); /* Address Map Register 8 */      </v>
      </c>
      <c r="J106" s="287"/>
    </row>
    <row r="107" spans="1:10" ht="13.5">
      <c r="A107" s="287"/>
      <c r="B107" s="287"/>
      <c r="C107" s="287" t="s">
        <v>753</v>
      </c>
      <c r="D107" s="287" t="s">
        <v>787</v>
      </c>
      <c r="E107" s="287" t="s">
        <v>448</v>
      </c>
      <c r="F107" s="287" t="str">
        <f>Registers!C489</f>
        <v>0x00000000</v>
      </c>
      <c r="G107" s="287" t="s">
        <v>455</v>
      </c>
      <c r="H107" s="287" t="s">
        <v>719</v>
      </c>
      <c r="I107" s="287" t="str">
        <f t="shared" si="0"/>
        <v xml:space="preserve">Write_MMR(DDRSS_DDRCTL_ADDRMAP9,0x00000000); /* Address Map Register 9 */      </v>
      </c>
      <c r="J107" s="287"/>
    </row>
    <row r="108" spans="1:10" ht="13.5">
      <c r="A108" s="287"/>
      <c r="B108" s="287"/>
      <c r="C108" s="287" t="s">
        <v>753</v>
      </c>
      <c r="D108" s="287" t="s">
        <v>788</v>
      </c>
      <c r="E108" s="287" t="s">
        <v>448</v>
      </c>
      <c r="F108" s="287" t="str">
        <f>Registers!C500</f>
        <v>0x00000000</v>
      </c>
      <c r="G108" s="287" t="s">
        <v>455</v>
      </c>
      <c r="H108" s="287" t="s">
        <v>720</v>
      </c>
      <c r="I108" s="287" t="str">
        <f t="shared" ref="I108:I180" si="2">CONCATENATE(A108,B108,C108,D108,E108,F108,G108,H108)</f>
        <v xml:space="preserve">Write_MMR(DDRSS_DDRCTL_ADDRMAP10,0x00000000); /* Address Map Register 10 */      </v>
      </c>
      <c r="J108" s="287"/>
    </row>
    <row r="109" spans="1:10" ht="13.5">
      <c r="A109" s="287"/>
      <c r="B109" s="287"/>
      <c r="C109" s="287" t="s">
        <v>753</v>
      </c>
      <c r="D109" s="287" t="s">
        <v>789</v>
      </c>
      <c r="E109" s="287" t="s">
        <v>448</v>
      </c>
      <c r="F109" s="287" t="str">
        <f>Registers!C510</f>
        <v>0x001F1F00</v>
      </c>
      <c r="G109" s="287" t="s">
        <v>455</v>
      </c>
      <c r="H109" s="287" t="s">
        <v>721</v>
      </c>
      <c r="I109" s="287" t="str">
        <f t="shared" si="2"/>
        <v xml:space="preserve">Write_MMR(DDRSS_DDRCTL_ADDRMAP11,0x001F1F00); /* Address Map Register 11 */      </v>
      </c>
      <c r="J109" s="287"/>
    </row>
    <row r="110" spans="1:10" ht="13.5">
      <c r="A110" s="287"/>
      <c r="B110" s="287"/>
      <c r="C110" s="287"/>
      <c r="D110" s="287"/>
      <c r="E110" s="287"/>
      <c r="F110" s="287"/>
      <c r="G110" s="287"/>
      <c r="H110" s="287"/>
      <c r="I110" s="287"/>
      <c r="J110" s="287"/>
    </row>
    <row r="111" spans="1:10" ht="13.5">
      <c r="A111" s="287"/>
      <c r="B111" s="287"/>
      <c r="C111" s="287" t="s">
        <v>753</v>
      </c>
      <c r="D111" s="287" t="s">
        <v>1387</v>
      </c>
      <c r="E111" s="287" t="s">
        <v>448</v>
      </c>
      <c r="F111" s="287" t="s">
        <v>135</v>
      </c>
      <c r="G111" s="287" t="s">
        <v>455</v>
      </c>
      <c r="H111" s="287" t="s">
        <v>1386</v>
      </c>
      <c r="I111" s="287" t="str">
        <f t="shared" ref="I111" si="3">CONCATENATE(A111,B111,C111,D111,E111,F111,G111,H111)</f>
        <v xml:space="preserve">Write_MMR(DDRSS_DDRCTL_DQMAP0,0x00000000); /* DQ Map Register 0 */      </v>
      </c>
      <c r="J111" s="287"/>
    </row>
    <row r="112" spans="1:10" ht="13.5">
      <c r="A112" s="287"/>
      <c r="B112" s="287"/>
      <c r="C112" s="287" t="s">
        <v>753</v>
      </c>
      <c r="D112" s="287" t="s">
        <v>1388</v>
      </c>
      <c r="E112" s="287" t="s">
        <v>448</v>
      </c>
      <c r="F112" s="287" t="s">
        <v>135</v>
      </c>
      <c r="G112" s="287" t="s">
        <v>455</v>
      </c>
      <c r="H112" s="287" t="s">
        <v>1391</v>
      </c>
      <c r="I112" s="287" t="str">
        <f t="shared" ref="I112:I114" si="4">CONCATENATE(A112,B112,C112,D112,E112,F112,G112,H112)</f>
        <v xml:space="preserve">Write_MMR(DDRSS_DDRCTL_DQMAP1,0x00000000); /* DQ Map Register 1 */      </v>
      </c>
      <c r="J112" s="287"/>
    </row>
    <row r="113" spans="1:15" ht="13.5">
      <c r="A113" s="287"/>
      <c r="B113" s="287"/>
      <c r="C113" s="287" t="s">
        <v>753</v>
      </c>
      <c r="D113" s="287" t="s">
        <v>1389</v>
      </c>
      <c r="E113" s="287" t="s">
        <v>448</v>
      </c>
      <c r="F113" s="287" t="s">
        <v>135</v>
      </c>
      <c r="G113" s="287" t="s">
        <v>455</v>
      </c>
      <c r="H113" s="287" t="s">
        <v>1392</v>
      </c>
      <c r="I113" s="287" t="str">
        <f t="shared" si="4"/>
        <v xml:space="preserve">Write_MMR(DDRSS_DDRCTL_DQMAP4,0x00000000); /* DQ Map Register 4 */      </v>
      </c>
      <c r="J113" s="287"/>
    </row>
    <row r="114" spans="1:15" ht="13.5">
      <c r="A114" s="287"/>
      <c r="B114" s="287"/>
      <c r="C114" s="287" t="s">
        <v>753</v>
      </c>
      <c r="D114" s="287" t="s">
        <v>1390</v>
      </c>
      <c r="E114" s="287" t="s">
        <v>448</v>
      </c>
      <c r="F114" s="287" t="s">
        <v>135</v>
      </c>
      <c r="G114" s="287" t="s">
        <v>455</v>
      </c>
      <c r="H114" s="287" t="s">
        <v>1393</v>
      </c>
      <c r="I114" s="287" t="str">
        <f t="shared" si="4"/>
        <v xml:space="preserve">Write_MMR(DDRSS_DDRCTL_DQMAP5,0x00000000); /* DQ Map Register 5 */      </v>
      </c>
      <c r="J114" s="287"/>
    </row>
    <row r="115" spans="1:15" ht="13.5">
      <c r="A115" s="287"/>
      <c r="B115" s="287"/>
      <c r="C115" s="287"/>
      <c r="D115" s="287"/>
      <c r="E115" s="287"/>
      <c r="F115" s="287"/>
      <c r="G115" s="287"/>
      <c r="H115" s="287"/>
      <c r="I115" s="287"/>
      <c r="J115" s="287"/>
    </row>
    <row r="116" spans="1:15" ht="13.5">
      <c r="A116" s="287"/>
      <c r="B116" s="287" t="s">
        <v>444</v>
      </c>
      <c r="C116" s="287" t="s">
        <v>753</v>
      </c>
      <c r="D116" s="287" t="s">
        <v>793</v>
      </c>
      <c r="E116" s="287" t="s">
        <v>448</v>
      </c>
      <c r="F116" s="287" t="s">
        <v>135</v>
      </c>
      <c r="G116" s="287" t="s">
        <v>455</v>
      </c>
      <c r="H116" s="287" t="s">
        <v>1414</v>
      </c>
      <c r="I116" s="287" t="str">
        <f t="shared" ref="I116" si="5">CONCATENATE(A116,B116,C116,D116,E116,F116,G116,H116)</f>
        <v xml:space="preserve">//Write_MMR(DDRSS_DDRCTL_PWRCTL,0x00000000); /* Power Control Register */      </v>
      </c>
      <c r="J116" s="287"/>
    </row>
    <row r="117" spans="1:15" ht="13.5">
      <c r="A117" s="287"/>
      <c r="B117" s="287" t="s">
        <v>444</v>
      </c>
      <c r="C117" s="287" t="s">
        <v>753</v>
      </c>
      <c r="D117" s="287" t="s">
        <v>1427</v>
      </c>
      <c r="E117" s="287" t="s">
        <v>448</v>
      </c>
      <c r="F117" s="287" t="s">
        <v>135</v>
      </c>
      <c r="G117" s="287" t="s">
        <v>455</v>
      </c>
      <c r="H117" s="287" t="s">
        <v>1428</v>
      </c>
      <c r="I117" s="287" t="str">
        <f t="shared" ref="I117" si="6">CONCATENATE(A117,B117,C117,D117,E117,F117,G117,H117)</f>
        <v xml:space="preserve">//Write_MMR(DDRSS_DDRCTL_RANKCTL,0x00000000); /* Rank Control Register */      </v>
      </c>
      <c r="J117" s="287"/>
    </row>
    <row r="118" spans="1:15" ht="13.5">
      <c r="A118" s="287"/>
      <c r="B118" s="287"/>
      <c r="C118" s="287"/>
      <c r="D118" s="287"/>
      <c r="E118" s="287"/>
      <c r="F118" s="287"/>
      <c r="G118" s="287"/>
      <c r="H118" s="287"/>
      <c r="I118" s="287" t="str">
        <f t="shared" si="2"/>
        <v/>
      </c>
      <c r="J118" s="287"/>
    </row>
    <row r="119" spans="1:15" s="287" customFormat="1" ht="13.5">
      <c r="C119" s="287" t="s">
        <v>753</v>
      </c>
      <c r="D119" s="287" t="str">
        <f>Registers!B348</f>
        <v>DDRSS_DDRCTL_ODTCFG</v>
      </c>
      <c r="E119" s="287" t="s">
        <v>448</v>
      </c>
      <c r="F119" s="287" t="str">
        <f>Registers!C353</f>
        <v>0x0600060C</v>
      </c>
      <c r="G119" s="287" t="s">
        <v>455</v>
      </c>
      <c r="H119" s="287" t="s">
        <v>568</v>
      </c>
      <c r="I119" s="287" t="str">
        <f t="shared" si="2"/>
        <v xml:space="preserve">Write_MMR(DDRSS_DDRCTL_ODTCFG,0x0600060C); /* ODT Configuration Register */      </v>
      </c>
    </row>
    <row r="120" spans="1:15" ht="13.5">
      <c r="C120" s="287" t="s">
        <v>753</v>
      </c>
      <c r="D120" s="287" t="s">
        <v>790</v>
      </c>
      <c r="E120" s="287" t="s">
        <v>448</v>
      </c>
      <c r="F120" s="287" t="str">
        <f>IF(DDR_Rank="Single_Rank","0x00000001","0x00000201")</f>
        <v>0x00000001</v>
      </c>
      <c r="G120" s="287" t="s">
        <v>455</v>
      </c>
      <c r="H120" s="287" t="s">
        <v>630</v>
      </c>
      <c r="I120" s="287" t="str">
        <f t="shared" si="2"/>
        <v xml:space="preserve">Write_MMR(DDRSS_DDRCTL_ODTMAP,0x00000001); /* ODT Rank Map */      </v>
      </c>
    </row>
    <row r="121" spans="1:15" ht="13.5">
      <c r="C121" s="287"/>
      <c r="D121" s="287"/>
      <c r="E121" s="287"/>
      <c r="F121" s="287"/>
      <c r="G121" s="287"/>
      <c r="H121" s="287"/>
      <c r="I121" s="287"/>
    </row>
    <row r="122" spans="1:15" s="287" customFormat="1" ht="13.5">
      <c r="B122" s="287" t="s">
        <v>444</v>
      </c>
      <c r="C122" s="287" t="s">
        <v>935</v>
      </c>
      <c r="I122" s="287" t="str">
        <f t="shared" ref="I122" si="7">CONCATENATE(A122,B122,C122,D122,E122,F122,G122,H122)</f>
        <v>//disable refeshes to get ready for PHY initialization and training</v>
      </c>
    </row>
    <row r="123" spans="1:15" s="287" customFormat="1" ht="13.5">
      <c r="C123" s="287" t="s">
        <v>753</v>
      </c>
      <c r="D123" s="287" t="s">
        <v>791</v>
      </c>
      <c r="E123" s="287" t="s">
        <v>448</v>
      </c>
      <c r="F123" s="287" t="s">
        <v>792</v>
      </c>
      <c r="G123" s="287" t="s">
        <v>455</v>
      </c>
      <c r="H123" s="291" t="s">
        <v>481</v>
      </c>
      <c r="I123" s="287" t="str">
        <f t="shared" ref="I123" si="8">CONCATENATE(A123,B123,C123,D123,E123,F123,G123,H123)</f>
        <v xml:space="preserve">Write_MMR(DDRSS_DDRCTL_RFSHCTL3,Read_MMR(DDRSS_DDRCTL_RFSHCTL3) | 0x1); /* Refresh Control Register 3 */ </v>
      </c>
    </row>
    <row r="124" spans="1:15" s="287" customFormat="1" ht="13.5">
      <c r="H124" s="291"/>
    </row>
    <row r="125" spans="1:15" s="287" customFormat="1" ht="13.5">
      <c r="B125" s="287" t="s">
        <v>444</v>
      </c>
      <c r="C125" s="288" t="s">
        <v>940</v>
      </c>
      <c r="H125" s="291"/>
      <c r="I125" s="287" t="str">
        <f t="shared" si="2"/>
        <v xml:space="preserve">//-----------------------------------------------------------------------------                        </v>
      </c>
      <c r="J125" s="293"/>
      <c r="K125" s="293"/>
      <c r="L125" s="293"/>
      <c r="M125" s="293"/>
      <c r="N125" s="293"/>
      <c r="O125" s="291"/>
    </row>
    <row r="126" spans="1:15" s="287" customFormat="1" ht="13.5">
      <c r="B126" s="287" t="s">
        <v>444</v>
      </c>
      <c r="C126" s="287" t="s">
        <v>1408</v>
      </c>
      <c r="H126" s="291"/>
      <c r="I126" s="287" t="str">
        <f t="shared" si="2"/>
        <v xml:space="preserve">//Deassert core reset, also setup LPDDR4 with ECC if needed                                                                                 </v>
      </c>
      <c r="J126" s="293"/>
      <c r="K126" s="293"/>
      <c r="L126" s="293"/>
      <c r="M126" s="293"/>
      <c r="N126" s="293"/>
      <c r="O126" s="291"/>
    </row>
    <row r="127" spans="1:15" s="287" customFormat="1" ht="13.5">
      <c r="B127" s="287" t="s">
        <v>444</v>
      </c>
      <c r="C127" s="288" t="s">
        <v>940</v>
      </c>
      <c r="H127" s="291"/>
      <c r="I127" s="287" t="str">
        <f t="shared" si="2"/>
        <v xml:space="preserve">//-----------------------------------------------------------------------------                        </v>
      </c>
      <c r="J127" s="291"/>
      <c r="K127" s="291"/>
      <c r="L127" s="291"/>
      <c r="M127" s="291"/>
      <c r="N127" s="291"/>
      <c r="O127" s="291"/>
    </row>
    <row r="128" spans="1:15" s="287" customFormat="1" ht="13.5">
      <c r="C128" s="288" t="s">
        <v>1496</v>
      </c>
      <c r="H128" s="291"/>
      <c r="I128" s="287" t="str">
        <f t="shared" si="2"/>
        <v>if( ((Read_MMR(DDRSS_DDRCTL_ECCCFG0) &amp; 0x7) == 0x4) &amp;&amp; ((Read_MMR(DDRSS_DDRCTL_MSTR) &amp; 0x20) == 0x20))</v>
      </c>
      <c r="J128" s="291"/>
      <c r="K128" s="291"/>
      <c r="L128" s="291"/>
      <c r="M128" s="291"/>
      <c r="N128" s="291"/>
      <c r="O128" s="291"/>
    </row>
    <row r="129" spans="2:12" s="287" customFormat="1" ht="13.5">
      <c r="C129" s="287" t="s">
        <v>1425</v>
      </c>
      <c r="D129" s="287" t="s">
        <v>897</v>
      </c>
      <c r="E129" s="287" t="s">
        <v>448</v>
      </c>
      <c r="F129" s="287" t="s">
        <v>749</v>
      </c>
      <c r="G129" s="287" t="s">
        <v>455</v>
      </c>
      <c r="H129" s="287" t="s">
        <v>483</v>
      </c>
      <c r="I129" s="287" t="str">
        <f t="shared" si="2"/>
        <v xml:space="preserve">    Write_MMR(DDRSS_SS_CTL_REG,0x00010000); /* Subsystem Control Register */ </v>
      </c>
    </row>
    <row r="130" spans="2:12" s="287" customFormat="1" ht="13.5">
      <c r="C130" s="287" t="s">
        <v>1426</v>
      </c>
      <c r="I130" s="287" t="str">
        <f t="shared" si="2"/>
        <v>else</v>
      </c>
    </row>
    <row r="131" spans="2:12" s="287" customFormat="1" ht="13.5">
      <c r="C131" s="287" t="s">
        <v>1425</v>
      </c>
      <c r="D131" s="287" t="s">
        <v>897</v>
      </c>
      <c r="E131" s="287" t="s">
        <v>448</v>
      </c>
      <c r="F131" s="287" t="s">
        <v>135</v>
      </c>
      <c r="G131" s="287" t="s">
        <v>455</v>
      </c>
      <c r="H131" s="287" t="s">
        <v>483</v>
      </c>
      <c r="I131" s="287" t="str">
        <f t="shared" ref="I131" si="9">CONCATENATE(A131,B131,C131,D131,E131,F131,G131,H131)</f>
        <v xml:space="preserve">    Write_MMR(DDRSS_SS_CTL_REG,0x00000000); /* Subsystem Control Register */ </v>
      </c>
    </row>
    <row r="132" spans="2:12" s="287" customFormat="1" ht="13.5"/>
    <row r="133" spans="2:12" s="287" customFormat="1" ht="13.5">
      <c r="B133" s="287" t="s">
        <v>444</v>
      </c>
      <c r="C133" s="287" t="s">
        <v>753</v>
      </c>
      <c r="D133" s="287" t="s">
        <v>793</v>
      </c>
      <c r="E133" s="287" t="s">
        <v>448</v>
      </c>
      <c r="F133" s="287" t="s">
        <v>794</v>
      </c>
      <c r="G133" s="287" t="s">
        <v>455</v>
      </c>
      <c r="H133" s="291" t="s">
        <v>631</v>
      </c>
      <c r="I133" s="287" t="str">
        <f t="shared" si="2"/>
        <v xml:space="preserve">//Write_MMR(DDRSS_DDRCTL_PWRCTL,Read_MMR(DDRSS_DDRCTL_PWRCTL) &amp; ~0x2); /* Low Power Control Register */ </v>
      </c>
      <c r="J133" s="291"/>
      <c r="L133" s="291"/>
    </row>
    <row r="134" spans="2:12" s="287" customFormat="1" ht="13.5">
      <c r="B134" s="287" t="s">
        <v>444</v>
      </c>
      <c r="C134" s="287" t="s">
        <v>753</v>
      </c>
      <c r="D134" s="287" t="s">
        <v>795</v>
      </c>
      <c r="E134" s="287" t="s">
        <v>448</v>
      </c>
      <c r="F134" s="287" t="s">
        <v>482</v>
      </c>
      <c r="G134" s="287" t="s">
        <v>455</v>
      </c>
      <c r="H134" s="287" t="s">
        <v>632</v>
      </c>
      <c r="I134" s="287" t="str">
        <f t="shared" si="2"/>
        <v xml:space="preserve">//Write_MMR(DDRSS_DDRCTL_SWCTL,0x0); /* Sofware Register Programming Control Enable */ </v>
      </c>
    </row>
    <row r="135" spans="2:12" s="287" customFormat="1" ht="13.5">
      <c r="B135" s="287" t="s">
        <v>444</v>
      </c>
      <c r="C135" s="287" t="s">
        <v>753</v>
      </c>
      <c r="D135" s="287" t="s">
        <v>796</v>
      </c>
      <c r="E135" s="287" t="s">
        <v>448</v>
      </c>
      <c r="F135" s="288" t="s">
        <v>797</v>
      </c>
      <c r="G135" s="287" t="s">
        <v>455</v>
      </c>
      <c r="H135" s="291" t="s">
        <v>633</v>
      </c>
      <c r="I135" s="287" t="str">
        <f t="shared" si="2"/>
        <v xml:space="preserve">//Write_MMR(DDRSS_DDRCTL_DFIMISC,Read_MMR(DDRSS_DDRCTL_DFIMISC) &amp; ~0x1); /* DFI Miscellaneous Control Register */ </v>
      </c>
    </row>
    <row r="136" spans="2:12" s="287" customFormat="1" ht="13.5">
      <c r="B136" s="287" t="s">
        <v>444</v>
      </c>
      <c r="C136" s="287" t="s">
        <v>753</v>
      </c>
      <c r="D136" s="287" t="s">
        <v>795</v>
      </c>
      <c r="E136" s="287" t="s">
        <v>448</v>
      </c>
      <c r="F136" s="287" t="s">
        <v>634</v>
      </c>
      <c r="G136" s="287" t="s">
        <v>455</v>
      </c>
      <c r="H136" s="287" t="s">
        <v>632</v>
      </c>
      <c r="I136" s="287" t="str">
        <f t="shared" si="2"/>
        <v xml:space="preserve">//Write_MMR(DDRSS_DDRCTL_SWCTL,0x1); /* Sofware Register Programming Control Enable */ </v>
      </c>
    </row>
    <row r="137" spans="2:12" s="287" customFormat="1" ht="13.5">
      <c r="I137" s="287" t="str">
        <f t="shared" si="2"/>
        <v/>
      </c>
    </row>
    <row r="138" spans="2:12" s="287" customFormat="1" ht="13.5">
      <c r="B138" s="287" t="s">
        <v>444</v>
      </c>
      <c r="C138" s="288" t="s">
        <v>937</v>
      </c>
      <c r="I138" s="287" t="str">
        <f t="shared" si="2"/>
        <v>//-----------------------------------------------------------------------------</v>
      </c>
    </row>
    <row r="139" spans="2:12" s="287" customFormat="1" ht="13.5">
      <c r="B139" s="287" t="s">
        <v>444</v>
      </c>
      <c r="C139" s="287" t="s">
        <v>942</v>
      </c>
      <c r="I139" s="287" t="str">
        <f t="shared" si="2"/>
        <v>//Configure PHY Initialization Registers</v>
      </c>
    </row>
    <row r="140" spans="2:12" s="287" customFormat="1" ht="13.5">
      <c r="B140" s="287" t="s">
        <v>444</v>
      </c>
      <c r="C140" s="288" t="s">
        <v>937</v>
      </c>
      <c r="I140" s="287" t="str">
        <f t="shared" si="2"/>
        <v>//-----------------------------------------------------------------------------</v>
      </c>
    </row>
    <row r="141" spans="2:12" s="287" customFormat="1" ht="13.5">
      <c r="I141" s="287" t="str">
        <f t="shared" si="2"/>
        <v/>
      </c>
    </row>
    <row r="142" spans="2:12" s="287" customFormat="1" ht="13.5">
      <c r="C142" s="287" t="s">
        <v>753</v>
      </c>
      <c r="D142" s="287" t="str">
        <f>Registers!B943</f>
        <v>DDRSS_DDRPHY_PGCR0</v>
      </c>
      <c r="E142" s="287" t="s">
        <v>448</v>
      </c>
      <c r="F142" s="287" t="str">
        <f>Registers!C948</f>
        <v>0x07001E00</v>
      </c>
      <c r="G142" s="287" t="s">
        <v>449</v>
      </c>
      <c r="H142" s="287" t="s">
        <v>723</v>
      </c>
      <c r="I142" s="287" t="str">
        <f t="shared" si="2"/>
        <v xml:space="preserve">Write_MMR(DDRSS_DDRPHY_PGCR0,0x07001E00);/* PHY General Configuration Register 0*/ </v>
      </c>
    </row>
    <row r="143" spans="2:12" s="287" customFormat="1" ht="13.5">
      <c r="C143" s="287" t="s">
        <v>753</v>
      </c>
      <c r="D143" s="287" t="s">
        <v>800</v>
      </c>
      <c r="E143" s="287" t="s">
        <v>448</v>
      </c>
      <c r="F143" s="287" t="s">
        <v>936</v>
      </c>
      <c r="G143" s="287" t="s">
        <v>449</v>
      </c>
      <c r="H143" s="287" t="s">
        <v>724</v>
      </c>
      <c r="I143" s="287" t="str">
        <f t="shared" si="2"/>
        <v xml:space="preserve">Write_MMR(DDRSS_DDRPHY_PGCR1,0x020046C0);/* PHY General Configuration Register 1*/   </v>
      </c>
    </row>
    <row r="144" spans="2:12" s="287" customFormat="1" ht="13.5">
      <c r="C144" s="287" t="s">
        <v>754</v>
      </c>
      <c r="D144" s="287" t="str">
        <f>Registers!B957</f>
        <v>DDRSS_DDRPHY_PGCR2</v>
      </c>
      <c r="E144" s="287" t="s">
        <v>448</v>
      </c>
      <c r="F144" s="287" t="str">
        <f>Registers!C962</f>
        <v>0x00F09F60</v>
      </c>
      <c r="G144" s="287" t="s">
        <v>449</v>
      </c>
      <c r="H144" s="287" t="s">
        <v>725</v>
      </c>
      <c r="I144" s="287" t="str">
        <f t="shared" si="2"/>
        <v xml:space="preserve">Write_MMR( DDRSS_DDRPHY_PGCR2,0x00F09F60);/* PHY General Configuration Register 2*/  </v>
      </c>
    </row>
    <row r="145" spans="3:9" s="287" customFormat="1" ht="13.5">
      <c r="C145" s="287" t="s">
        <v>753</v>
      </c>
      <c r="D145" s="287" t="s">
        <v>801</v>
      </c>
      <c r="E145" s="287" t="s">
        <v>448</v>
      </c>
      <c r="F145" s="287" t="s">
        <v>722</v>
      </c>
      <c r="G145" s="287" t="s">
        <v>449</v>
      </c>
      <c r="H145" s="287" t="s">
        <v>726</v>
      </c>
      <c r="I145" s="287" t="str">
        <f t="shared" si="2"/>
        <v xml:space="preserve">Write_MMR(DDRSS_DDRPHY_PGCR3,0x55AA0080);/* PHY General Configuration Register 3*/  </v>
      </c>
    </row>
    <row r="146" spans="3:9" s="287" customFormat="1" ht="13.5">
      <c r="C146" s="287" t="s">
        <v>753</v>
      </c>
      <c r="D146" s="287" t="s">
        <v>803</v>
      </c>
      <c r="E146" s="287" t="s">
        <v>448</v>
      </c>
      <c r="F146" s="287" t="s">
        <v>728</v>
      </c>
      <c r="G146" s="287" t="s">
        <v>449</v>
      </c>
      <c r="H146" s="287" t="s">
        <v>727</v>
      </c>
      <c r="I146" s="287" t="str">
        <f t="shared" si="2"/>
        <v xml:space="preserve">Write_MMR(DDRSS_DDRPHY_PGCR6,0x00013001);/* PHY General Configuration Register 6*/  </v>
      </c>
    </row>
    <row r="147" spans="3:9" s="287" customFormat="1" ht="13.5">
      <c r="I147" s="287" t="str">
        <f t="shared" si="2"/>
        <v/>
      </c>
    </row>
    <row r="148" spans="3:9" s="287" customFormat="1" ht="13.5">
      <c r="C148" s="287" t="s">
        <v>754</v>
      </c>
      <c r="D148" s="287" t="str">
        <f>Registers!B1066</f>
        <v>DDRSS_DDRPHY_PTR2</v>
      </c>
      <c r="E148" s="287" t="s">
        <v>448</v>
      </c>
      <c r="F148" s="287" t="str">
        <f>Registers!C1071</f>
        <v>0x00083DEF</v>
      </c>
      <c r="G148" s="287" t="s">
        <v>449</v>
      </c>
      <c r="H148" s="287" t="s">
        <v>450</v>
      </c>
      <c r="I148" s="287" t="str">
        <f t="shared" si="2"/>
        <v>Write_MMR( DDRSS_DDRPHY_PTR2,0x00083DEF);/* PHY Timing Register 2 */</v>
      </c>
    </row>
    <row r="149" spans="3:9" s="287" customFormat="1" ht="13.5">
      <c r="C149" s="287" t="s">
        <v>753</v>
      </c>
      <c r="D149" s="287" t="str">
        <f>Registers!B1077</f>
        <v>DDRSS_DDRPHY_PTR3</v>
      </c>
      <c r="E149" s="287" t="s">
        <v>448</v>
      </c>
      <c r="F149" s="287" t="str">
        <f>Registers!C1082</f>
        <v>0x00051616</v>
      </c>
      <c r="G149" s="287" t="s">
        <v>449</v>
      </c>
      <c r="H149" s="287" t="s">
        <v>451</v>
      </c>
      <c r="I149" s="287" t="str">
        <f t="shared" si="2"/>
        <v xml:space="preserve">Write_MMR(DDRSS_DDRPHY_PTR3,0x00051616);/* PHY Timing Register 3 */ </v>
      </c>
    </row>
    <row r="150" spans="3:9" s="287" customFormat="1" ht="13.5">
      <c r="C150" s="287" t="s">
        <v>753</v>
      </c>
      <c r="D150" s="287" t="str">
        <f>Registers!B1088</f>
        <v>DDRSS_DDRPHY_PTR4</v>
      </c>
      <c r="E150" s="287" t="s">
        <v>448</v>
      </c>
      <c r="F150" s="287" t="str">
        <f>Registers!C1093</f>
        <v>0x000000F0</v>
      </c>
      <c r="G150" s="287" t="s">
        <v>449</v>
      </c>
      <c r="H150" s="287" t="s">
        <v>452</v>
      </c>
      <c r="I150" s="287" t="str">
        <f t="shared" si="2"/>
        <v xml:space="preserve">Write_MMR(DDRSS_DDRPHY_PTR4,0x000000F0);/* PHY Timing Register 4 */ </v>
      </c>
    </row>
    <row r="151" spans="3:9" s="287" customFormat="1" ht="13.5">
      <c r="C151" s="287" t="s">
        <v>753</v>
      </c>
      <c r="D151" s="287" t="str">
        <f>Registers!B1099</f>
        <v>DDRSS_DDRPHY_PTR5</v>
      </c>
      <c r="E151" s="287" t="s">
        <v>448</v>
      </c>
      <c r="F151" s="287" t="str">
        <f>Registers!C1104</f>
        <v>0x000208D6</v>
      </c>
      <c r="G151" s="287" t="s">
        <v>449</v>
      </c>
      <c r="H151" s="287" t="s">
        <v>453</v>
      </c>
      <c r="I151" s="287" t="str">
        <f t="shared" si="2"/>
        <v xml:space="preserve">Write_MMR(DDRSS_DDRPHY_PTR5,0x000208D6);/* PHY Timing Register 5 */ </v>
      </c>
    </row>
    <row r="152" spans="3:9" s="287" customFormat="1" ht="13.5">
      <c r="C152" s="287" t="s">
        <v>753</v>
      </c>
      <c r="D152" s="287" t="str">
        <f>Registers!B1109</f>
        <v>DDRSS_DDRPHY_PTR6</v>
      </c>
      <c r="E152" s="287" t="s">
        <v>448</v>
      </c>
      <c r="F152" s="287" t="str">
        <f>Registers!C1114</f>
        <v>0x0400029B</v>
      </c>
      <c r="G152" s="287" t="s">
        <v>449</v>
      </c>
      <c r="H152" s="287" t="s">
        <v>731</v>
      </c>
      <c r="I152" s="287" t="str">
        <f t="shared" si="2"/>
        <v xml:space="preserve">Write_MMR(DDRSS_DDRPHY_PTR6,0x0400029B);/* PHY Timing Register 6 */ </v>
      </c>
    </row>
    <row r="153" spans="3:9" s="287" customFormat="1" ht="13.5">
      <c r="I153" s="287" t="str">
        <f t="shared" si="2"/>
        <v/>
      </c>
    </row>
    <row r="154" spans="3:9" s="287" customFormat="1" ht="13.5">
      <c r="C154" s="287" t="s">
        <v>754</v>
      </c>
      <c r="D154" s="287" t="s">
        <v>809</v>
      </c>
      <c r="E154" s="287" t="s">
        <v>448</v>
      </c>
      <c r="F154" s="287" t="s">
        <v>735</v>
      </c>
      <c r="G154" s="287" t="s">
        <v>449</v>
      </c>
      <c r="H154" s="287" t="s">
        <v>730</v>
      </c>
      <c r="I154" s="287" t="str">
        <f t="shared" si="2"/>
        <v xml:space="preserve">Write_MMR( DDRSS_DDRPHY_PLLCR0,0x021c4000);/* PLL Control Register 0 (Type B PLL Only) */   </v>
      </c>
    </row>
    <row r="155" spans="3:9" s="287" customFormat="1" ht="13.5">
      <c r="I155" s="287" t="str">
        <f t="shared" si="2"/>
        <v/>
      </c>
    </row>
    <row r="156" spans="3:9" s="287" customFormat="1" ht="13.5">
      <c r="C156" s="287" t="s">
        <v>753</v>
      </c>
      <c r="D156" s="287" t="str">
        <f>Registers!B1181</f>
        <v>DDRSS_DDRPHY_DXCCR</v>
      </c>
      <c r="E156" s="287" t="s">
        <v>448</v>
      </c>
      <c r="F156" s="287" t="str">
        <f>Registers!C1186</f>
        <v>0x00000038</v>
      </c>
      <c r="G156" s="287" t="s">
        <v>449</v>
      </c>
      <c r="H156" s="287" t="s">
        <v>549</v>
      </c>
      <c r="I156" s="287" t="str">
        <f t="shared" si="2"/>
        <v xml:space="preserve">Write_MMR(DDRSS_DDRPHY_DXCCR,0x00000038);/* DATX8 Common Configuration Register */ </v>
      </c>
    </row>
    <row r="157" spans="3:9" s="287" customFormat="1" ht="13.5">
      <c r="C157" s="287" t="s">
        <v>753</v>
      </c>
      <c r="D157" s="287" t="s">
        <v>811</v>
      </c>
      <c r="E157" s="287" t="s">
        <v>448</v>
      </c>
      <c r="F157" s="287" t="s">
        <v>729</v>
      </c>
      <c r="G157" s="287" t="s">
        <v>449</v>
      </c>
      <c r="H157" s="287" t="s">
        <v>550</v>
      </c>
      <c r="I157" s="287" t="str">
        <f t="shared" si="2"/>
        <v xml:space="preserve">Write_MMR(DDRSS_DDRPHY_DSGCR,0x02A0C129);/* DDR System General Configuration Register */ </v>
      </c>
    </row>
    <row r="158" spans="3:9" s="287" customFormat="1" ht="13.5">
      <c r="I158" s="287" t="str">
        <f t="shared" si="2"/>
        <v/>
      </c>
    </row>
    <row r="159" spans="3:9" s="287" customFormat="1" ht="13.5">
      <c r="C159" s="287" t="s">
        <v>753</v>
      </c>
      <c r="D159" s="287" t="str">
        <f>Registers!B1119</f>
        <v>DDRSS_DDRPHY_DCR</v>
      </c>
      <c r="E159" s="287" t="s">
        <v>448</v>
      </c>
      <c r="F159" s="287" t="str">
        <f>Registers!C1124</f>
        <v>0x4000040C</v>
      </c>
      <c r="G159" s="287" t="s">
        <v>455</v>
      </c>
      <c r="H159" s="287" t="s">
        <v>463</v>
      </c>
      <c r="I159" s="287" t="str">
        <f t="shared" si="2"/>
        <v xml:space="preserve">Write_MMR(DDRSS_DDRPHY_DCR,0x4000040C); /* DRAM Configuration Register */ </v>
      </c>
    </row>
    <row r="160" spans="3:9" s="287" customFormat="1" ht="13.5">
      <c r="I160" s="287" t="str">
        <f t="shared" si="2"/>
        <v/>
      </c>
    </row>
    <row r="161" spans="2:11" s="287" customFormat="1" ht="13.5">
      <c r="C161" s="287" t="s">
        <v>753</v>
      </c>
      <c r="D161" s="287" t="str">
        <f>Registers!B517</f>
        <v>DDRSS_DDRPHY_DTPR0</v>
      </c>
      <c r="E161" s="287" t="s">
        <v>448</v>
      </c>
      <c r="F161" s="287" t="str">
        <f>Registers!C522</f>
        <v>0x04160905</v>
      </c>
      <c r="G161" s="287" t="s">
        <v>455</v>
      </c>
      <c r="H161" s="287" t="s">
        <v>457</v>
      </c>
      <c r="I161" s="287" t="str">
        <f t="shared" si="2"/>
        <v xml:space="preserve">Write_MMR(DDRSS_DDRPHY_DTPR0,0x04160905); /* DRAM Timing Parameters Register 0 */ </v>
      </c>
    </row>
    <row r="162" spans="2:11" s="287" customFormat="1" ht="13.5">
      <c r="C162" s="287" t="s">
        <v>753</v>
      </c>
      <c r="D162" s="287" t="str">
        <f>Registers!B528</f>
        <v>DDRSS_DDRPHY_DTPR1</v>
      </c>
      <c r="E162" s="287" t="s">
        <v>448</v>
      </c>
      <c r="F162" s="287" t="str">
        <f>Registers!C533</f>
        <v>0x28140000</v>
      </c>
      <c r="G162" s="287" t="s">
        <v>455</v>
      </c>
      <c r="H162" s="287" t="s">
        <v>458</v>
      </c>
      <c r="I162" s="287" t="str">
        <f t="shared" si="2"/>
        <v xml:space="preserve">Write_MMR(DDRSS_DDRPHY_DTPR1,0x28140000); /* DRAM Timing Parameters Register 1 */ </v>
      </c>
    </row>
    <row r="163" spans="2:11" s="287" customFormat="1" ht="13.5">
      <c r="C163" s="287" t="s">
        <v>753</v>
      </c>
      <c r="D163" s="287" t="str">
        <f>Registers!B550</f>
        <v>DDRSS_DDRPHY_DTPR2</v>
      </c>
      <c r="E163" s="287" t="s">
        <v>448</v>
      </c>
      <c r="F163" s="287" t="str">
        <f>Registers!C555</f>
        <v>0x0034E300</v>
      </c>
      <c r="G163" s="287" t="s">
        <v>455</v>
      </c>
      <c r="H163" s="287" t="s">
        <v>459</v>
      </c>
      <c r="I163" s="287" t="str">
        <f t="shared" si="2"/>
        <v xml:space="preserve">Write_MMR(DDRSS_DDRPHY_DTPR2,0x0034E300); /* DRAM Timing Parameters Register 2 */ </v>
      </c>
      <c r="K163" s="287" t="s">
        <v>445</v>
      </c>
    </row>
    <row r="164" spans="2:11" s="287" customFormat="1" ht="13.5">
      <c r="C164" s="287" t="s">
        <v>753</v>
      </c>
      <c r="D164" s="287" t="str">
        <f>Registers!B567</f>
        <v>DDRSS_DDRPHY_DTPR3</v>
      </c>
      <c r="E164" s="287" t="s">
        <v>448</v>
      </c>
      <c r="F164" s="287" t="str">
        <f>Registers!C572</f>
        <v>0x02800800</v>
      </c>
      <c r="G164" s="287" t="s">
        <v>455</v>
      </c>
      <c r="H164" s="287" t="s">
        <v>732</v>
      </c>
      <c r="I164" s="287" t="str">
        <f t="shared" si="2"/>
        <v xml:space="preserve">Write_MMR(DDRSS_DDRPHY_DTPR3,0x02800800); /* DRAM Timing Parameters Register 3 */ </v>
      </c>
    </row>
    <row r="165" spans="2:11" s="287" customFormat="1" ht="13.5">
      <c r="C165" s="287" t="s">
        <v>753</v>
      </c>
      <c r="D165" s="287" t="str">
        <f>Registers!B578</f>
        <v>DDRSS_DDRPHY_DTPR4</v>
      </c>
      <c r="E165" s="287" t="s">
        <v>448</v>
      </c>
      <c r="F165" s="287" t="str">
        <f>Registers!C583</f>
        <v>0x30EA0704</v>
      </c>
      <c r="G165" s="287" t="s">
        <v>455</v>
      </c>
      <c r="H165" s="287" t="s">
        <v>460</v>
      </c>
      <c r="I165" s="287" t="str">
        <f t="shared" si="2"/>
        <v xml:space="preserve">Write_MMR(DDRSS_DDRPHY_DTPR4,0x30EA0704); /* DRAM Timing Parameters Register 4 */ </v>
      </c>
      <c r="K165" s="287" t="s">
        <v>337</v>
      </c>
    </row>
    <row r="166" spans="2:11" s="287" customFormat="1" ht="13.5">
      <c r="C166" s="287" t="s">
        <v>753</v>
      </c>
      <c r="D166" s="287" t="str">
        <f>Registers!B589</f>
        <v>DDRSS_DDRPHY_DTPR5</v>
      </c>
      <c r="E166" s="287" t="s">
        <v>448</v>
      </c>
      <c r="F166" s="287" t="str">
        <f>Registers!C594</f>
        <v>0x001F0905</v>
      </c>
      <c r="G166" s="287" t="s">
        <v>455</v>
      </c>
      <c r="H166" s="287" t="s">
        <v>461</v>
      </c>
      <c r="I166" s="287" t="str">
        <f t="shared" si="2"/>
        <v xml:space="preserve">Write_MMR(DDRSS_DDRPHY_DTPR5,0x001F0905); /* DRAM Timing Parameters Register 5 */ </v>
      </c>
      <c r="K166" s="287" t="s">
        <v>446</v>
      </c>
    </row>
    <row r="167" spans="2:11" s="287" customFormat="1" ht="13.5">
      <c r="C167" s="287" t="s">
        <v>753</v>
      </c>
      <c r="D167" s="287" t="str">
        <f>Registers!B600</f>
        <v>DDRSS_DDRPHY_DTPR6</v>
      </c>
      <c r="E167" s="287" t="s">
        <v>448</v>
      </c>
      <c r="F167" s="287" t="str">
        <f>Registers!C605</f>
        <v>0x00000505</v>
      </c>
      <c r="G167" s="287" t="s">
        <v>455</v>
      </c>
      <c r="H167" s="287" t="s">
        <v>462</v>
      </c>
      <c r="I167" s="287" t="str">
        <f t="shared" si="2"/>
        <v xml:space="preserve">Write_MMR(DDRSS_DDRPHY_DTPR6,0x00000505); /* DRAM Timing Parameters Register 6 */ </v>
      </c>
    </row>
    <row r="168" spans="2:11" s="287" customFormat="1" ht="13.5">
      <c r="I168" s="287" t="str">
        <f t="shared" si="2"/>
        <v/>
      </c>
    </row>
    <row r="169" spans="2:11" s="287" customFormat="1" ht="13.5">
      <c r="C169" s="287" t="s">
        <v>753</v>
      </c>
      <c r="D169" s="287" t="s">
        <v>813</v>
      </c>
      <c r="E169" s="287" t="s">
        <v>448</v>
      </c>
      <c r="F169" s="287" t="str">
        <f>Registers!C1165</f>
        <v>0x0089EA58</v>
      </c>
      <c r="G169" s="287" t="s">
        <v>455</v>
      </c>
      <c r="H169" s="287" t="s">
        <v>454</v>
      </c>
      <c r="I169" s="287" t="str">
        <f t="shared" si="2"/>
        <v xml:space="preserve">Write_MMR(DDRSS_DDRPHY_ZQCR,0x0089EA58);  /* Impedance Control Register   */ </v>
      </c>
    </row>
    <row r="170" spans="2:11" s="287" customFormat="1" ht="13.5">
      <c r="I170" s="287" t="str">
        <f t="shared" si="2"/>
        <v/>
      </c>
    </row>
    <row r="171" spans="2:11" s="287" customFormat="1" ht="13.5">
      <c r="B171" s="287" t="s">
        <v>444</v>
      </c>
      <c r="C171" s="287" t="s">
        <v>1183</v>
      </c>
      <c r="E171" s="287">
        <f>AM65x_Rtt_value</f>
        <v>60</v>
      </c>
      <c r="F171" s="287" t="s">
        <v>1105</v>
      </c>
      <c r="I171" s="287" t="str">
        <f t="shared" si="2"/>
        <v>//AM65x ODT =60ohm</v>
      </c>
    </row>
    <row r="172" spans="2:11" s="287" customFormat="1" ht="13.5">
      <c r="B172" s="287" t="s">
        <v>444</v>
      </c>
      <c r="C172" s="287" t="s">
        <v>2328</v>
      </c>
      <c r="E172" s="287">
        <f>AM65x_Ron_AC_value</f>
        <v>34.299999999999997</v>
      </c>
      <c r="F172" s="287" t="s">
        <v>1105</v>
      </c>
      <c r="I172" s="287" t="str">
        <f t="shared" si="2"/>
        <v>//AM65x AC Driver Output Impedance = 34.3ohm</v>
      </c>
    </row>
    <row r="173" spans="2:11" s="287" customFormat="1" ht="13.5">
      <c r="C173" s="287" t="s">
        <v>753</v>
      </c>
      <c r="D173" s="287" t="s">
        <v>1087</v>
      </c>
      <c r="E173" s="287" t="s">
        <v>448</v>
      </c>
      <c r="F173" s="287" t="str">
        <f>Registers!C1051</f>
        <v>0x000077DD</v>
      </c>
      <c r="G173" s="287" t="s">
        <v>455</v>
      </c>
      <c r="H173" s="287" t="s">
        <v>456</v>
      </c>
      <c r="I173" s="287" t="str">
        <f t="shared" si="2"/>
        <v xml:space="preserve">Write_MMR(DDRSS_DDRPHY_ZQ0PR0,0x000077DD); /* Impedance Controller Program Register 0 for Calibration Segment 0 */   </v>
      </c>
    </row>
    <row r="174" spans="2:11" s="287" customFormat="1" ht="13.5">
      <c r="B174" s="287" t="s">
        <v>444</v>
      </c>
      <c r="C174" s="287" t="s">
        <v>2327</v>
      </c>
      <c r="E174" s="287">
        <f>AM65x_Ron_DQ_value</f>
        <v>48</v>
      </c>
      <c r="F174" s="287" t="s">
        <v>1105</v>
      </c>
      <c r="I174" s="287" t="str">
        <f t="shared" ref="I174" si="10">CONCATENATE(A174,B174,C174,D174,E174,F174,G174,H174)</f>
        <v>//AM65x DQ Driver Output Impedance = 48ohm</v>
      </c>
    </row>
    <row r="175" spans="2:11" s="287" customFormat="1" ht="13.5">
      <c r="C175" s="287" t="s">
        <v>753</v>
      </c>
      <c r="D175" s="287" t="s">
        <v>1423</v>
      </c>
      <c r="E175" s="287" t="s">
        <v>448</v>
      </c>
      <c r="F175" s="287" t="str">
        <f>Registers!C1061</f>
        <v>0x00007799</v>
      </c>
      <c r="G175" s="287" t="s">
        <v>455</v>
      </c>
      <c r="H175" s="287" t="s">
        <v>1409</v>
      </c>
      <c r="I175" s="287" t="str">
        <f t="shared" ref="I175" si="11">CONCATENATE(A175,B175,C175,D175,E175,F175,G175,H175)</f>
        <v xml:space="preserve">Write_MMR(DDRSS_DDRPHY_ZQ1PR0,0x00007799); /* Impedance Controller Program Register 0 for Calibration Segment 1 */   </v>
      </c>
    </row>
    <row r="176" spans="2:11" s="287" customFormat="1" ht="13.5">
      <c r="B176" s="287" t="s">
        <v>444</v>
      </c>
      <c r="C176" s="287" t="s">
        <v>733</v>
      </c>
      <c r="I176" s="287" t="str">
        <f t="shared" si="2"/>
        <v>//ZQnPR1 default is ZQ VREF= 50% VDDQ for ZQ calibration*/</v>
      </c>
    </row>
    <row r="177" spans="2:9" s="287" customFormat="1" ht="13.5">
      <c r="I177" s="287" t="str">
        <f t="shared" si="2"/>
        <v/>
      </c>
    </row>
    <row r="178" spans="2:9" s="287" customFormat="1" ht="13.5">
      <c r="B178" s="287" t="s">
        <v>444</v>
      </c>
      <c r="C178" s="288" t="s">
        <v>940</v>
      </c>
      <c r="I178" s="287" t="str">
        <f t="shared" si="2"/>
        <v xml:space="preserve">//-----------------------------------------------------------------------------                        </v>
      </c>
    </row>
    <row r="179" spans="2:9" s="287" customFormat="1" ht="13.5">
      <c r="B179" s="287" t="s">
        <v>444</v>
      </c>
      <c r="C179" s="287" t="s">
        <v>941</v>
      </c>
      <c r="I179" s="287" t="str">
        <f t="shared" si="2"/>
        <v xml:space="preserve">//Configure DRAM Initialization registers                                                                            </v>
      </c>
    </row>
    <row r="180" spans="2:9" s="287" customFormat="1" ht="13.5">
      <c r="B180" s="287" t="s">
        <v>444</v>
      </c>
      <c r="C180" s="288" t="s">
        <v>940</v>
      </c>
      <c r="I180" s="287" t="str">
        <f t="shared" si="2"/>
        <v xml:space="preserve">//-----------------------------------------------------------------------------                        </v>
      </c>
    </row>
    <row r="181" spans="2:9" s="287" customFormat="1" ht="13.5">
      <c r="I181" s="287" t="str">
        <f t="shared" ref="I181:I233" si="12">CONCATENATE(A181,B181,C181,D181,E181,F181,G181,H181)</f>
        <v/>
      </c>
    </row>
    <row r="182" spans="2:9" s="287" customFormat="1" ht="13.5">
      <c r="C182" s="287" t="s">
        <v>753</v>
      </c>
      <c r="D182" s="287" t="s">
        <v>1394</v>
      </c>
      <c r="E182" s="287" t="s">
        <v>448</v>
      </c>
      <c r="F182" s="287" t="str">
        <f>IF(Memory_Type="DDR4",Registers!C714,IF(Memory_Type="DDR3L",Registers!C627,"0x00000000"))</f>
        <v>0x00000014</v>
      </c>
      <c r="G182" s="287" t="s">
        <v>455</v>
      </c>
      <c r="H182" s="287" t="s">
        <v>1299</v>
      </c>
      <c r="I182" s="287" t="str">
        <f t="shared" si="12"/>
        <v xml:space="preserve">Write_MMR(DDRSS_DDRPHY_MR0,0x00000014); /* DDR Mode Register */ </v>
      </c>
    </row>
    <row r="183" spans="2:9" s="287" customFormat="1" ht="13.5">
      <c r="C183" s="287" t="s">
        <v>753</v>
      </c>
      <c r="D183" s="287" t="s">
        <v>1370</v>
      </c>
      <c r="E183" s="287" t="s">
        <v>448</v>
      </c>
      <c r="F183" s="287" t="str">
        <f>IF(Memory_Type="DDR4",Registers!C749,IF(Memory_Type="DDR3L",Registers!C662,Registers!C823))</f>
        <v>0x00000501</v>
      </c>
      <c r="G183" s="287" t="s">
        <v>455</v>
      </c>
      <c r="H183" s="287" t="s">
        <v>1299</v>
      </c>
      <c r="I183" s="287" t="str">
        <f t="shared" si="12"/>
        <v xml:space="preserve">Write_MMR(DDRSS_DDRPHY_MR1,0x00000501); /* DDR Mode Register */ </v>
      </c>
    </row>
    <row r="184" spans="2:9" s="287" customFormat="1" ht="13.5">
      <c r="C184" s="287" t="s">
        <v>753</v>
      </c>
      <c r="D184" s="287" t="s">
        <v>1371</v>
      </c>
      <c r="E184" s="287" t="s">
        <v>448</v>
      </c>
      <c r="F184" s="287" t="str">
        <f>IF(Memory_Type="DDR4",Registers!C760,IF(Memory_Type="DDR3L",Registers!C686,Registers!C858))</f>
        <v>0x00000000</v>
      </c>
      <c r="G184" s="287" t="s">
        <v>455</v>
      </c>
      <c r="H184" s="287" t="s">
        <v>1299</v>
      </c>
      <c r="I184" s="287" t="str">
        <f t="shared" si="12"/>
        <v xml:space="preserve">Write_MMR(DDRSS_DDRPHY_MR2,0x00000000); /* DDR Mode Register */ </v>
      </c>
    </row>
    <row r="185" spans="2:9" s="287" customFormat="1" ht="13.5">
      <c r="C185" s="287" t="s">
        <v>753</v>
      </c>
      <c r="D185" s="287" t="s">
        <v>1372</v>
      </c>
      <c r="E185" s="287" t="s">
        <v>448</v>
      </c>
      <c r="F185" s="287" t="str">
        <f>IF(Memory_Type="DDR4",Registers!C776,IF(Memory_Type="DDR3L",Registers!C702,Registers!C876))</f>
        <v>0x00000020</v>
      </c>
      <c r="G185" s="287" t="s">
        <v>455</v>
      </c>
      <c r="H185" s="287" t="s">
        <v>1299</v>
      </c>
      <c r="I185" s="287" t="str">
        <f t="shared" si="12"/>
        <v xml:space="preserve">Write_MMR(DDRSS_DDRPHY_MR3,0x00000020); /* DDR Mode Register */ </v>
      </c>
    </row>
    <row r="186" spans="2:9" s="287" customFormat="1" ht="13.5">
      <c r="C186" s="287" t="s">
        <v>753</v>
      </c>
      <c r="D186" s="287" t="s">
        <v>1395</v>
      </c>
      <c r="E186" s="287" t="s">
        <v>448</v>
      </c>
      <c r="F186" s="287" t="str">
        <f>IF(Memory_Type="DDR4",Registers!C786,"0x00000000")</f>
        <v>0x00000000</v>
      </c>
      <c r="G186" s="287" t="s">
        <v>455</v>
      </c>
      <c r="H186" s="287" t="s">
        <v>1299</v>
      </c>
      <c r="I186" s="287" t="str">
        <f t="shared" si="12"/>
        <v xml:space="preserve">Write_MMR(DDRSS_DDRPHY_MR4,0x00000000); /* DDR Mode Register */ </v>
      </c>
    </row>
    <row r="187" spans="2:9" s="287" customFormat="1" ht="13.5">
      <c r="C187" s="287" t="s">
        <v>753</v>
      </c>
      <c r="D187" s="287" t="s">
        <v>1396</v>
      </c>
      <c r="E187" s="287" t="s">
        <v>448</v>
      </c>
      <c r="F187" s="287" t="str">
        <f>IF(Memory_Type="DDR4",Registers!C799,"0x00000000")</f>
        <v>0x00000480</v>
      </c>
      <c r="G187" s="287" t="s">
        <v>455</v>
      </c>
      <c r="H187" s="287" t="s">
        <v>1299</v>
      </c>
      <c r="I187" s="287" t="str">
        <f t="shared" si="12"/>
        <v xml:space="preserve">Write_MMR(DDRSS_DDRPHY_MR5,0x00000480); /* DDR Mode Register */ </v>
      </c>
    </row>
    <row r="188" spans="2:9" s="287" customFormat="1" ht="13.5">
      <c r="C188" s="287" t="s">
        <v>753</v>
      </c>
      <c r="D188" s="287" t="s">
        <v>1397</v>
      </c>
      <c r="E188" s="287" t="s">
        <v>448</v>
      </c>
      <c r="F188" s="287" t="str">
        <f>IF(Memory_Type="DDR4",Registers!C810,"0x00000000")</f>
        <v>0x00000097</v>
      </c>
      <c r="G188" s="287" t="s">
        <v>455</v>
      </c>
      <c r="H188" s="287" t="s">
        <v>1299</v>
      </c>
      <c r="I188" s="287" t="str">
        <f t="shared" si="12"/>
        <v xml:space="preserve">Write_MMR(DDRSS_DDRPHY_MR6,0x00000097); /* DDR Mode Register */ </v>
      </c>
    </row>
    <row r="189" spans="2:9" s="287" customFormat="1" ht="13.5">
      <c r="C189" s="287" t="s">
        <v>753</v>
      </c>
      <c r="D189" s="287" t="s">
        <v>1373</v>
      </c>
      <c r="E189" s="287" t="s">
        <v>448</v>
      </c>
      <c r="F189" s="287" t="str">
        <f>IF(Memory_Type="LPDDR4",Registers!C892,"0x00000000")</f>
        <v>0x00000000</v>
      </c>
      <c r="G189" s="287" t="s">
        <v>455</v>
      </c>
      <c r="H189" s="287" t="s">
        <v>1299</v>
      </c>
      <c r="I189" s="287" t="str">
        <f t="shared" ref="I189:I193" si="13">CONCATENATE(A189,B189,C189,D189,E189,F189,G189,H189)</f>
        <v xml:space="preserve">Write_MMR(DDRSS_DDRPHY_MR11,0x00000000); /* DDR Mode Register */ </v>
      </c>
    </row>
    <row r="190" spans="2:9" s="287" customFormat="1" ht="13.5">
      <c r="C190" s="287" t="s">
        <v>753</v>
      </c>
      <c r="D190" s="287" t="s">
        <v>1374</v>
      </c>
      <c r="E190" s="287" t="s">
        <v>448</v>
      </c>
      <c r="F190" s="287" t="str">
        <f>IF(Memory_Type="LPDDR4",Registers!C902,"0x00000000")</f>
        <v>0x00000000</v>
      </c>
      <c r="G190" s="287" t="s">
        <v>455</v>
      </c>
      <c r="H190" s="287" t="s">
        <v>1299</v>
      </c>
      <c r="I190" s="287" t="str">
        <f t="shared" si="13"/>
        <v xml:space="preserve">Write_MMR(DDRSS_DDRPHY_MR12,0x00000000); /* DDR Mode Register */ </v>
      </c>
    </row>
    <row r="191" spans="2:9" s="287" customFormat="1" ht="13.5">
      <c r="C191" s="287" t="s">
        <v>753</v>
      </c>
      <c r="D191" s="287" t="s">
        <v>1375</v>
      </c>
      <c r="E191" s="287" t="s">
        <v>448</v>
      </c>
      <c r="F191" s="287" t="str">
        <f>IF(Memory_Type="LPDDR4",Registers!C915,"0x00000000")</f>
        <v>0x00000000</v>
      </c>
      <c r="G191" s="287" t="s">
        <v>455</v>
      </c>
      <c r="H191" s="287" t="s">
        <v>1299</v>
      </c>
      <c r="I191" s="287" t="str">
        <f t="shared" si="13"/>
        <v xml:space="preserve">Write_MMR(DDRSS_DDRPHY_MR13,0x00000000); /* DDR Mode Register */ </v>
      </c>
    </row>
    <row r="192" spans="2:9" s="287" customFormat="1" ht="13.5">
      <c r="C192" s="287" t="s">
        <v>753</v>
      </c>
      <c r="D192" s="287" t="s">
        <v>1376</v>
      </c>
      <c r="E192" s="287" t="s">
        <v>448</v>
      </c>
      <c r="F192" s="287" t="str">
        <f>IF(Memory_Type="LPDDR4",Registers!C926,"0x00000000")</f>
        <v>0x00000000</v>
      </c>
      <c r="G192" s="287" t="s">
        <v>455</v>
      </c>
      <c r="H192" s="287" t="s">
        <v>1299</v>
      </c>
      <c r="I192" s="287" t="str">
        <f t="shared" si="13"/>
        <v xml:space="preserve">Write_MMR(DDRSS_DDRPHY_MR14,0x00000000); /* DDR Mode Register */ </v>
      </c>
    </row>
    <row r="193" spans="3:9" s="287" customFormat="1" ht="13.5">
      <c r="C193" s="287" t="s">
        <v>753</v>
      </c>
      <c r="D193" s="287" t="s">
        <v>1377</v>
      </c>
      <c r="E193" s="287" t="s">
        <v>448</v>
      </c>
      <c r="F193" s="287" t="str">
        <f>IF(Memory_Type="LPDDR4",Registers!C936,"0x00000000")</f>
        <v>0x00000000</v>
      </c>
      <c r="G193" s="287" t="s">
        <v>455</v>
      </c>
      <c r="H193" s="287" t="s">
        <v>1299</v>
      </c>
      <c r="I193" s="287" t="str">
        <f t="shared" si="13"/>
        <v xml:space="preserve">Write_MMR(DDRSS_DDRPHY_MR22,0x00000000); /* DDR Mode Register */ </v>
      </c>
    </row>
    <row r="194" spans="3:9" s="287" customFormat="1" ht="13.5">
      <c r="I194" s="287" t="str">
        <f t="shared" si="12"/>
        <v/>
      </c>
    </row>
    <row r="195" spans="3:9" ht="13.5">
      <c r="C195" s="287" t="s">
        <v>753</v>
      </c>
      <c r="D195" s="287" t="s">
        <v>814</v>
      </c>
      <c r="E195" s="287" t="s">
        <v>448</v>
      </c>
      <c r="F195" s="287" t="str">
        <f>Registers!C1175</f>
        <v>0xF3C32017</v>
      </c>
      <c r="G195" s="287" t="s">
        <v>455</v>
      </c>
      <c r="H195" s="287" t="s">
        <v>487</v>
      </c>
      <c r="I195" s="287" t="str">
        <f t="shared" si="12"/>
        <v>Write_MMR(DDRSS_DDRPHY_VTCR0,0xF3C32017); /* Data Training Configuration Register 0 */</v>
      </c>
    </row>
    <row r="196" spans="3:9" ht="13.5">
      <c r="I196" s="287" t="str">
        <f t="shared" si="12"/>
        <v/>
      </c>
    </row>
    <row r="197" spans="3:9" ht="13.5">
      <c r="C197" s="287" t="s">
        <v>753</v>
      </c>
      <c r="D197" s="287" t="s">
        <v>815</v>
      </c>
      <c r="E197" s="287" t="s">
        <v>448</v>
      </c>
      <c r="F197" s="287" t="s">
        <v>735</v>
      </c>
      <c r="G197" s="287" t="s">
        <v>455</v>
      </c>
      <c r="H197" s="287" t="s">
        <v>736</v>
      </c>
      <c r="I197" s="287" t="str">
        <f t="shared" si="12"/>
        <v>Write_MMR(DDRSS_DDRPHY_DX8SL0PLLCR0,0x021c4000); /* DAXT8 bytes 0-1 PLL Control Register 0 ctl_clk or REF_CLK = 400MHz */</v>
      </c>
    </row>
    <row r="198" spans="3:9" ht="13.5">
      <c r="C198" s="287" t="s">
        <v>753</v>
      </c>
      <c r="D198" s="287" t="s">
        <v>816</v>
      </c>
      <c r="E198" s="287" t="s">
        <v>448</v>
      </c>
      <c r="F198" s="287" t="s">
        <v>735</v>
      </c>
      <c r="G198" s="287" t="s">
        <v>455</v>
      </c>
      <c r="H198" s="287" t="s">
        <v>737</v>
      </c>
      <c r="I198" s="287" t="str">
        <f t="shared" si="12"/>
        <v>Write_MMR(DDRSS_DDRPHY_DX8SL1PLLCR0,0x021c4000); /* DAXT8 byte 2-3 PLL Control Register 0 ctl_clk or REF_CLK = 400MHz*/</v>
      </c>
    </row>
    <row r="199" spans="3:9" ht="13.5">
      <c r="C199" s="287" t="s">
        <v>753</v>
      </c>
      <c r="D199" s="287" t="s">
        <v>817</v>
      </c>
      <c r="E199" s="287" t="s">
        <v>448</v>
      </c>
      <c r="F199" s="287" t="s">
        <v>735</v>
      </c>
      <c r="G199" s="287" t="s">
        <v>455</v>
      </c>
      <c r="H199" s="287" t="s">
        <v>738</v>
      </c>
      <c r="I199" s="287" t="str">
        <f t="shared" si="12"/>
        <v>Write_MMR(DDRSS_DDRPHY_DX8SL2PLLCR0,0x021c4000); /* DAXT8 byte 4 PLL Control Register 0 ctl_clk or REF_CLK = 400MHz*/</v>
      </c>
    </row>
    <row r="200" spans="3:9" s="287" customFormat="1" ht="13.5">
      <c r="I200" s="287" t="str">
        <f t="shared" si="12"/>
        <v/>
      </c>
    </row>
    <row r="201" spans="3:9" s="287" customFormat="1" ht="13.5">
      <c r="C201" s="287" t="s">
        <v>753</v>
      </c>
      <c r="D201" s="287" t="s">
        <v>818</v>
      </c>
      <c r="E201" s="287" t="s">
        <v>448</v>
      </c>
      <c r="F201" s="287" t="s">
        <v>739</v>
      </c>
      <c r="G201" s="287" t="s">
        <v>455</v>
      </c>
      <c r="H201" s="287" t="s">
        <v>487</v>
      </c>
      <c r="I201" s="287" t="str">
        <f t="shared" si="12"/>
        <v>Write_MMR(DDRSS_DDRPHY_DTCR0,0x8000B1C7); /* Data Training Configuration Register 0 */</v>
      </c>
    </row>
    <row r="202" spans="3:9" s="287" customFormat="1" ht="13.5">
      <c r="C202" s="287" t="s">
        <v>753</v>
      </c>
      <c r="D202" s="287" t="s">
        <v>819</v>
      </c>
      <c r="E202" s="287" t="s">
        <v>448</v>
      </c>
      <c r="F202" s="287" t="str">
        <f>Registers!C983</f>
        <v>0x00010236</v>
      </c>
      <c r="G202" s="287" t="s">
        <v>455</v>
      </c>
      <c r="H202" s="287" t="s">
        <v>740</v>
      </c>
      <c r="I202" s="287" t="str">
        <f t="shared" si="12"/>
        <v xml:space="preserve">Write_MMR(DDRSS_DDRPHY_DTCR1,0x00010236); /* Data Training Configuration Register 1 */   </v>
      </c>
    </row>
    <row r="203" spans="3:9" s="287" customFormat="1" ht="13.5">
      <c r="I203" s="287" t="str">
        <f t="shared" si="12"/>
        <v/>
      </c>
    </row>
    <row r="204" spans="3:9" s="287" customFormat="1" ht="13.5">
      <c r="C204" s="287" t="s">
        <v>753</v>
      </c>
      <c r="D204" s="287" t="s">
        <v>2337</v>
      </c>
      <c r="E204" s="287" t="s">
        <v>448</v>
      </c>
      <c r="F204" s="287" t="str">
        <f>Registers!C1134</f>
        <v>0xF0070000</v>
      </c>
      <c r="G204" s="287" t="s">
        <v>455</v>
      </c>
      <c r="H204" s="287" t="s">
        <v>2350</v>
      </c>
      <c r="I204" s="287" t="str">
        <f t="shared" si="12"/>
        <v xml:space="preserve">Write_MMR(DDRSS_DDRPHY_ACIOCR0,0xF0070000); /* AC I/O Configuration Register 0 */ </v>
      </c>
    </row>
    <row r="205" spans="3:9" s="287" customFormat="1" ht="13.5">
      <c r="C205" s="287" t="s">
        <v>753</v>
      </c>
      <c r="D205" s="287" t="s">
        <v>1485</v>
      </c>
      <c r="E205" s="287" t="s">
        <v>448</v>
      </c>
      <c r="F205" s="287" t="str">
        <f>Registers!C1144</f>
        <v>0x20000001</v>
      </c>
      <c r="G205" s="287" t="s">
        <v>455</v>
      </c>
      <c r="H205" s="287" t="s">
        <v>1494</v>
      </c>
      <c r="I205" s="287" t="str">
        <f t="shared" ref="I205" si="14">CONCATENATE(A205,B205,C205,D205,E205,F205,G205,H205)</f>
        <v xml:space="preserve">Write_MMR(DDRSS_DDRPHY_ACIOCR3,0x20000001); /* AC I/O Configuration Register 3 */ </v>
      </c>
    </row>
    <row r="206" spans="3:9" s="287" customFormat="1" ht="13.5">
      <c r="C206" s="287" t="s">
        <v>753</v>
      </c>
      <c r="D206" s="287" t="s">
        <v>820</v>
      </c>
      <c r="E206" s="287" t="s">
        <v>448</v>
      </c>
      <c r="F206" s="287" t="str">
        <f>Registers!C1154</f>
        <v>0x04800000</v>
      </c>
      <c r="G206" s="287" t="s">
        <v>455</v>
      </c>
      <c r="H206" s="287" t="s">
        <v>464</v>
      </c>
      <c r="I206" s="287" t="str">
        <f t="shared" si="12"/>
        <v xml:space="preserve">Write_MMR(DDRSS_DDRPHY_ACIOCR5,0x04800000); /* AC I/O Configuration Register 5 */ </v>
      </c>
    </row>
    <row r="207" spans="3:9" s="287" customFormat="1" ht="13.5">
      <c r="I207" s="287" t="str">
        <f t="shared" si="12"/>
        <v/>
      </c>
    </row>
    <row r="208" spans="3:9" s="287" customFormat="1" ht="13.5">
      <c r="C208" s="287" t="s">
        <v>753</v>
      </c>
      <c r="D208" s="287" t="s">
        <v>821</v>
      </c>
      <c r="E208" s="287" t="s">
        <v>448</v>
      </c>
      <c r="F208" s="287" t="str">
        <f>IF(Memory_Type="LPDDR4","0x0F9E9E9E","0x0F0C0C0C")</f>
        <v>0x0F0C0C0C</v>
      </c>
      <c r="G208" s="287" t="s">
        <v>455</v>
      </c>
      <c r="H208" s="287" t="s">
        <v>488</v>
      </c>
      <c r="I208" s="287" t="str">
        <f t="shared" si="12"/>
        <v xml:space="preserve">Write_MMR(DDRSS_DDRPHY_IOVCR0,0x0F0C0C0C); /*  */   </v>
      </c>
    </row>
    <row r="209" spans="1:9" s="287" customFormat="1" ht="13.5">
      <c r="I209" s="287" t="str">
        <f t="shared" si="12"/>
        <v/>
      </c>
    </row>
    <row r="210" spans="1:9" s="287" customFormat="1" ht="13.5">
      <c r="C210" s="287" t="s">
        <v>1410</v>
      </c>
      <c r="I210" s="287" t="str">
        <f t="shared" si="12"/>
        <v>//these registers values will change depending on data bus width and ECC enable</v>
      </c>
    </row>
    <row r="211" spans="1:9" s="287" customFormat="1" ht="13.5"/>
    <row r="212" spans="1:9" s="287" customFormat="1" ht="13.5">
      <c r="B212" s="287" t="s">
        <v>444</v>
      </c>
      <c r="C212" s="287" t="s">
        <v>753</v>
      </c>
      <c r="D212" s="287" t="s">
        <v>1415</v>
      </c>
      <c r="E212" s="287" t="s">
        <v>448</v>
      </c>
      <c r="F212" s="73" t="s">
        <v>135</v>
      </c>
      <c r="G212" s="287" t="s">
        <v>455</v>
      </c>
      <c r="H212" s="287" t="s">
        <v>741</v>
      </c>
      <c r="I212" s="287" t="str">
        <f t="shared" ref="I212:I218" si="15">CONCATENATE(A212,B212,C212,D212,E212,F212,G212,H212)</f>
        <v xml:space="preserve">//Write_MMR(DDRSS_DDRPHY_DX0GCR0,0x00000000); /* DATX8 n General Configuration Register 0 */  </v>
      </c>
    </row>
    <row r="213" spans="1:9" s="287" customFormat="1" ht="13.5">
      <c r="A213" s="287" t="s">
        <v>336</v>
      </c>
      <c r="B213" s="287" t="s">
        <v>444</v>
      </c>
      <c r="C213" s="287" t="s">
        <v>753</v>
      </c>
      <c r="D213" s="287" t="s">
        <v>1416</v>
      </c>
      <c r="E213" s="287" t="s">
        <v>448</v>
      </c>
      <c r="F213" s="73" t="s">
        <v>135</v>
      </c>
      <c r="G213" s="287" t="s">
        <v>455</v>
      </c>
      <c r="H213" s="287" t="s">
        <v>742</v>
      </c>
      <c r="I213" s="287" t="str">
        <f t="shared" si="15"/>
        <v xml:space="preserve"> //Write_MMR(DDRSS_DDRPHY_DX0GCR1,0x00000000); /* DATX8 n General Configuration Register 1 */ </v>
      </c>
    </row>
    <row r="214" spans="1:9" s="287" customFormat="1" ht="13.5">
      <c r="A214" s="287" t="s">
        <v>336</v>
      </c>
      <c r="B214" s="287" t="s">
        <v>444</v>
      </c>
      <c r="C214" s="287" t="s">
        <v>753</v>
      </c>
      <c r="D214" s="287" t="s">
        <v>1417</v>
      </c>
      <c r="E214" s="287" t="s">
        <v>448</v>
      </c>
      <c r="F214" s="73" t="s">
        <v>135</v>
      </c>
      <c r="G214" s="287" t="s">
        <v>455</v>
      </c>
      <c r="H214" s="287" t="s">
        <v>743</v>
      </c>
      <c r="I214" s="287" t="str">
        <f t="shared" si="15"/>
        <v xml:space="preserve"> //Write_MMR(DDRSS_DDRPHY_DX0GCR2,0x00000000); /* DATX8 n General Configuration Register 2 */  </v>
      </c>
    </row>
    <row r="215" spans="1:9" s="287" customFormat="1" ht="13.5">
      <c r="B215" s="287" t="s">
        <v>444</v>
      </c>
      <c r="C215" s="287" t="s">
        <v>753</v>
      </c>
      <c r="D215" s="287" t="s">
        <v>1418</v>
      </c>
      <c r="E215" s="287" t="s">
        <v>448</v>
      </c>
      <c r="F215" s="73" t="s">
        <v>135</v>
      </c>
      <c r="G215" s="287" t="s">
        <v>455</v>
      </c>
      <c r="H215" s="287" t="s">
        <v>744</v>
      </c>
      <c r="I215" s="287" t="str">
        <f t="shared" si="15"/>
        <v xml:space="preserve">//Write_MMR(DDRSS_DDRPHY_DX0GCR3 ,0x00000000); /* DATX8 n General Configuration Register 3 */   </v>
      </c>
    </row>
    <row r="216" spans="1:9" s="287" customFormat="1" ht="13.5">
      <c r="B216" s="287" t="s">
        <v>444</v>
      </c>
      <c r="C216" s="287" t="s">
        <v>753</v>
      </c>
      <c r="D216" s="287" t="s">
        <v>1419</v>
      </c>
      <c r="E216" s="287" t="s">
        <v>448</v>
      </c>
      <c r="F216" s="73" t="s">
        <v>135</v>
      </c>
      <c r="G216" s="287" t="s">
        <v>455</v>
      </c>
      <c r="H216" s="287" t="s">
        <v>741</v>
      </c>
      <c r="I216" s="287" t="str">
        <f t="shared" si="15"/>
        <v xml:space="preserve">//Write_MMR(DDRSS_DDRPHY_DX1GCR0,0x00000000); /* DATX8 n General Configuration Register 0 */  </v>
      </c>
    </row>
    <row r="217" spans="1:9" s="287" customFormat="1" ht="13.5">
      <c r="B217" s="287" t="s">
        <v>444</v>
      </c>
      <c r="C217" s="287" t="s">
        <v>753</v>
      </c>
      <c r="D217" s="287" t="s">
        <v>1420</v>
      </c>
      <c r="E217" s="287" t="s">
        <v>448</v>
      </c>
      <c r="F217" s="73" t="s">
        <v>135</v>
      </c>
      <c r="G217" s="287" t="s">
        <v>455</v>
      </c>
      <c r="H217" s="287" t="s">
        <v>742</v>
      </c>
      <c r="I217" s="287" t="str">
        <f t="shared" si="15"/>
        <v xml:space="preserve">//Write_MMR(DDRSS_DDRPHY_DX1GCR1,0x00000000); /* DATX8 n General Configuration Register 1 */ </v>
      </c>
    </row>
    <row r="218" spans="1:9" s="287" customFormat="1" ht="13.5">
      <c r="B218" s="287" t="s">
        <v>444</v>
      </c>
      <c r="C218" s="287" t="s">
        <v>753</v>
      </c>
      <c r="D218" s="287" t="s">
        <v>1421</v>
      </c>
      <c r="E218" s="287" t="s">
        <v>448</v>
      </c>
      <c r="F218" s="73" t="s">
        <v>135</v>
      </c>
      <c r="G218" s="287" t="s">
        <v>455</v>
      </c>
      <c r="H218" s="287" t="s">
        <v>743</v>
      </c>
      <c r="I218" s="287" t="str">
        <f t="shared" si="15"/>
        <v xml:space="preserve">//Write_MMR(DDRSS_DDRPHY_DX1GCR2,0x00000000); /* DATX8 n General Configuration Register 2 */  </v>
      </c>
    </row>
    <row r="219" spans="1:9" s="287" customFormat="1" ht="13.5">
      <c r="B219" s="287" t="s">
        <v>444</v>
      </c>
      <c r="C219" s="287" t="s">
        <v>753</v>
      </c>
      <c r="D219" s="287" t="s">
        <v>1422</v>
      </c>
      <c r="E219" s="287" t="s">
        <v>448</v>
      </c>
      <c r="F219" s="73" t="s">
        <v>135</v>
      </c>
      <c r="G219" s="287" t="s">
        <v>455</v>
      </c>
      <c r="H219" s="287" t="s">
        <v>743</v>
      </c>
      <c r="I219" s="287" t="str">
        <f t="shared" ref="I219" si="16">CONCATENATE(A219,B219,C219,D219,E219,F219,G219,H219)</f>
        <v xml:space="preserve">//Write_MMR(DDRSS_DDRPHY_DX1GCR3,0x00000000); /* DATX8 n General Configuration Register 2 */  </v>
      </c>
    </row>
    <row r="220" spans="1:9" s="287" customFormat="1" ht="13.5">
      <c r="C220" s="287" t="s">
        <v>753</v>
      </c>
      <c r="D220" s="287" t="s">
        <v>822</v>
      </c>
      <c r="E220" s="287" t="s">
        <v>448</v>
      </c>
      <c r="F220" s="73" t="str">
        <f>VLOOKUP($O$281,$M$285:$AB$292,5,FALSE)</f>
        <v>0x40700204</v>
      </c>
      <c r="G220" s="287" t="s">
        <v>455</v>
      </c>
      <c r="H220" s="287" t="s">
        <v>741</v>
      </c>
      <c r="I220" s="287" t="str">
        <f t="shared" si="12"/>
        <v xml:space="preserve">Write_MMR(DDRSS_DDRPHY_DX2GCR0,0x40700204); /* DATX8 n General Configuration Register 0 */  </v>
      </c>
    </row>
    <row r="221" spans="1:9" s="287" customFormat="1" ht="13.5">
      <c r="A221" s="287" t="s">
        <v>336</v>
      </c>
      <c r="C221" s="287" t="s">
        <v>753</v>
      </c>
      <c r="D221" s="287" t="s">
        <v>1058</v>
      </c>
      <c r="E221" s="287" t="s">
        <v>448</v>
      </c>
      <c r="F221" s="73" t="str">
        <f>VLOOKUP($O$281,$M$285:$AB$292,8,FALSE)</f>
        <v>0x00007FFF</v>
      </c>
      <c r="G221" s="287" t="s">
        <v>455</v>
      </c>
      <c r="H221" s="287" t="s">
        <v>742</v>
      </c>
      <c r="I221" s="287" t="str">
        <f t="shared" si="12"/>
        <v xml:space="preserve"> Write_MMR(DDRSS_DDRPHY_DX2GCR1,0x00007FFF); /* DATX8 n General Configuration Register 1 */ </v>
      </c>
    </row>
    <row r="222" spans="1:9" s="287" customFormat="1" ht="13.5">
      <c r="A222" s="287" t="s">
        <v>336</v>
      </c>
      <c r="C222" s="287" t="s">
        <v>753</v>
      </c>
      <c r="D222" s="287" t="s">
        <v>1059</v>
      </c>
      <c r="E222" s="287" t="s">
        <v>448</v>
      </c>
      <c r="F222" s="73" t="str">
        <f>VLOOKUP($O$281,$M$285:$AB$292,11,FALSE)</f>
        <v>0x00000000</v>
      </c>
      <c r="G222" s="287" t="s">
        <v>455</v>
      </c>
      <c r="H222" s="287" t="s">
        <v>743</v>
      </c>
      <c r="I222" s="287" t="str">
        <f t="shared" si="12"/>
        <v xml:space="preserve"> Write_MMR(DDRSS_DDRPHY_DX2GCR2,0x00000000); /* DATX8 n General Configuration Register 2 */  </v>
      </c>
    </row>
    <row r="223" spans="1:9" s="287" customFormat="1" ht="13.5">
      <c r="C223" s="287" t="s">
        <v>753</v>
      </c>
      <c r="D223" s="287" t="s">
        <v>1060</v>
      </c>
      <c r="E223" s="287" t="s">
        <v>448</v>
      </c>
      <c r="F223" s="73" t="str">
        <f>VLOOKUP($O$281,$M$285:$AB$292,14,FALSE)</f>
        <v>0xFFC0010B</v>
      </c>
      <c r="G223" s="287" t="s">
        <v>455</v>
      </c>
      <c r="H223" s="287" t="s">
        <v>744</v>
      </c>
      <c r="I223" s="287" t="str">
        <f t="shared" si="12"/>
        <v xml:space="preserve">Write_MMR(DDRSS_DDRPHY_DX2GCR3 ,0xFFC0010B); /* DATX8 n General Configuration Register 3 */   </v>
      </c>
    </row>
    <row r="224" spans="1:9" s="287" customFormat="1" ht="13.5">
      <c r="C224" s="287" t="s">
        <v>753</v>
      </c>
      <c r="D224" s="287" t="s">
        <v>823</v>
      </c>
      <c r="E224" s="287" t="s">
        <v>448</v>
      </c>
      <c r="F224" s="73" t="str">
        <f>VLOOKUP($O$281,$M$285:$AB$292,6,FALSE)</f>
        <v>0x40700204</v>
      </c>
      <c r="G224" s="287" t="s">
        <v>455</v>
      </c>
      <c r="H224" s="287" t="s">
        <v>741</v>
      </c>
      <c r="I224" s="287" t="str">
        <f t="shared" si="12"/>
        <v xml:space="preserve">Write_MMR(DDRSS_DDRPHY_DX3GCR0,0x40700204); /* DATX8 n General Configuration Register 0 */  </v>
      </c>
    </row>
    <row r="225" spans="2:9" s="287" customFormat="1" ht="13.5">
      <c r="C225" s="287" t="s">
        <v>753</v>
      </c>
      <c r="D225" s="287" t="s">
        <v>1062</v>
      </c>
      <c r="E225" s="287" t="s">
        <v>448</v>
      </c>
      <c r="F225" s="73" t="str">
        <f>VLOOKUP($O$281,$M$285:$AB$292,9,FALSE)</f>
        <v>0x00007FFF</v>
      </c>
      <c r="G225" s="287" t="s">
        <v>455</v>
      </c>
      <c r="H225" s="287" t="s">
        <v>742</v>
      </c>
      <c r="I225" s="287" t="str">
        <f t="shared" si="12"/>
        <v xml:space="preserve">Write_MMR(DDRSS_DDRPHY_DX3GCR1,0x00007FFF); /* DATX8 n General Configuration Register 1 */ </v>
      </c>
    </row>
    <row r="226" spans="2:9" s="287" customFormat="1" ht="13.5">
      <c r="C226" s="287" t="s">
        <v>753</v>
      </c>
      <c r="D226" s="287" t="s">
        <v>1063</v>
      </c>
      <c r="E226" s="287" t="s">
        <v>448</v>
      </c>
      <c r="F226" s="73" t="str">
        <f>VLOOKUP($O$281,$M$285:$AB$292,12,FALSE)</f>
        <v>0x00000000</v>
      </c>
      <c r="G226" s="287" t="s">
        <v>455</v>
      </c>
      <c r="H226" s="287" t="s">
        <v>743</v>
      </c>
      <c r="I226" s="287" t="str">
        <f t="shared" si="12"/>
        <v xml:space="preserve">Write_MMR(DDRSS_DDRPHY_DX3GCR2,0x00000000); /* DATX8 n General Configuration Register 2 */  </v>
      </c>
    </row>
    <row r="227" spans="2:9" s="287" customFormat="1" ht="13.5">
      <c r="C227" s="287" t="s">
        <v>753</v>
      </c>
      <c r="D227" s="287" t="s">
        <v>1064</v>
      </c>
      <c r="E227" s="287" t="s">
        <v>448</v>
      </c>
      <c r="F227" s="73" t="str">
        <f>VLOOKUP($O$281,$M$285:$AB$292,15,FALSE)</f>
        <v>0xFFC0010B</v>
      </c>
      <c r="G227" s="287" t="s">
        <v>455</v>
      </c>
      <c r="H227" s="287" t="s">
        <v>744</v>
      </c>
      <c r="I227" s="287" t="str">
        <f t="shared" si="12"/>
        <v xml:space="preserve">Write_MMR(DDRSS_DDRPHY_DX3GCR3 ,0xFFC0010B); /* DATX8 n General Configuration Register 3 */   </v>
      </c>
    </row>
    <row r="228" spans="2:9" s="287" customFormat="1" ht="13.5">
      <c r="C228" s="287" t="s">
        <v>753</v>
      </c>
      <c r="D228" s="287" t="s">
        <v>824</v>
      </c>
      <c r="E228" s="287" t="s">
        <v>448</v>
      </c>
      <c r="F228" s="73" t="str">
        <f>VLOOKUP($O$281,$M$285:$AB$292,7,FALSE)</f>
        <v>0x40703220</v>
      </c>
      <c r="G228" s="287" t="s">
        <v>455</v>
      </c>
      <c r="H228" s="287" t="s">
        <v>741</v>
      </c>
      <c r="I228" s="287" t="str">
        <f t="shared" si="12"/>
        <v xml:space="preserve">Write_MMR(DDRSS_DDRPHY_DX4GCR0,0x40703220); /* DATX8 n General Configuration Register 0 */  </v>
      </c>
    </row>
    <row r="229" spans="2:9" s="287" customFormat="1" ht="13.5">
      <c r="C229" s="287" t="s">
        <v>753</v>
      </c>
      <c r="D229" s="287" t="s">
        <v>825</v>
      </c>
      <c r="E229" s="287" t="s">
        <v>448</v>
      </c>
      <c r="F229" s="73" t="str">
        <f>VLOOKUP($O$281,$M$285:$AB$292,10,FALSE)</f>
        <v>0x55556000</v>
      </c>
      <c r="G229" s="287" t="s">
        <v>455</v>
      </c>
      <c r="H229" s="287" t="s">
        <v>742</v>
      </c>
      <c r="I229" s="287" t="str">
        <f t="shared" si="12"/>
        <v xml:space="preserve">Write_MMR(DDRSS_DDRPHY_DX4GCR1,0x55556000); /* DATX8 n General Configuration Register 1 */ </v>
      </c>
    </row>
    <row r="230" spans="2:9" s="287" customFormat="1" ht="13.5">
      <c r="C230" s="287" t="s">
        <v>753</v>
      </c>
      <c r="D230" s="287" t="s">
        <v>826</v>
      </c>
      <c r="E230" s="287" t="s">
        <v>448</v>
      </c>
      <c r="F230" s="73" t="str">
        <f>VLOOKUP($O$281,$M$285:$AB$292,13,FALSE)</f>
        <v>0xAAAA0000</v>
      </c>
      <c r="G230" s="287" t="s">
        <v>455</v>
      </c>
      <c r="H230" s="287" t="s">
        <v>743</v>
      </c>
      <c r="I230" s="287" t="str">
        <f t="shared" si="12"/>
        <v xml:space="preserve">Write_MMR(DDRSS_DDRPHY_DX4GCR2,0xAAAA0000); /* DATX8 n General Configuration Register 2 */  </v>
      </c>
    </row>
    <row r="231" spans="2:9" s="287" customFormat="1" ht="13.5">
      <c r="C231" s="287" t="s">
        <v>753</v>
      </c>
      <c r="D231" s="287" t="s">
        <v>1067</v>
      </c>
      <c r="E231" s="287" t="s">
        <v>448</v>
      </c>
      <c r="F231" s="73" t="str">
        <f>VLOOKUP($O$281,$M$285:$AB$292,16,FALSE)</f>
        <v>0xFFE18587</v>
      </c>
      <c r="G231" s="287" t="s">
        <v>455</v>
      </c>
      <c r="H231" s="287" t="s">
        <v>744</v>
      </c>
      <c r="I231" s="287" t="str">
        <f t="shared" si="12"/>
        <v xml:space="preserve">Write_MMR(DDRSS_DDRPHY_DX4GCR3 ,0xFFE18587); /* DATX8 n General Configuration Register 3 */   </v>
      </c>
    </row>
    <row r="232" spans="2:9" s="287" customFormat="1" ht="13.5">
      <c r="I232" s="287" t="str">
        <f t="shared" si="12"/>
        <v/>
      </c>
    </row>
    <row r="233" spans="2:9" s="287" customFormat="1" ht="13.5">
      <c r="I233" s="287" t="str">
        <f t="shared" si="12"/>
        <v/>
      </c>
    </row>
    <row r="234" spans="2:9" s="287" customFormat="1" ht="13.5">
      <c r="B234" s="287" t="s">
        <v>444</v>
      </c>
      <c r="C234" s="287" t="s">
        <v>1082</v>
      </c>
      <c r="D234" s="294" t="str">
        <f>IF(Memory_Type="LPDDR4","50","25")</f>
        <v>25</v>
      </c>
      <c r="E234" s="287" t="s">
        <v>1083</v>
      </c>
      <c r="I234" s="287" t="str">
        <f t="shared" ref="I234:I277" si="17">CONCATENATE(A234,B234,C234,D234,E234,F234,G234,H234)</f>
        <v>//VREF RD DQS gate = 25%</v>
      </c>
    </row>
    <row r="235" spans="2:9" s="287" customFormat="1" ht="13.5">
      <c r="C235" s="287" t="s">
        <v>753</v>
      </c>
      <c r="D235" s="287" t="s">
        <v>827</v>
      </c>
      <c r="E235" s="287" t="s">
        <v>448</v>
      </c>
      <c r="F235" s="287" t="str">
        <f>Registers!C1019</f>
        <v>0x0E00B03C</v>
      </c>
      <c r="G235" s="287" t="s">
        <v>455</v>
      </c>
      <c r="H235" s="287" t="s">
        <v>745</v>
      </c>
      <c r="I235" s="287" t="str">
        <f t="shared" si="17"/>
        <v xml:space="preserve">Write_MMR(DDRSS_DDRPHY_DX0GCR4,0x0E00B03C); /* DATX8 n General Configuration Register 4 */ </v>
      </c>
    </row>
    <row r="236" spans="2:9" s="287" customFormat="1" ht="13.5">
      <c r="C236" s="287" t="s">
        <v>753</v>
      </c>
      <c r="D236" s="287" t="s">
        <v>828</v>
      </c>
      <c r="E236" s="287" t="s">
        <v>448</v>
      </c>
      <c r="F236" s="287" t="str">
        <f>Registers!C1019</f>
        <v>0x0E00B03C</v>
      </c>
      <c r="G236" s="287" t="s">
        <v>455</v>
      </c>
      <c r="H236" s="287" t="s">
        <v>746</v>
      </c>
      <c r="I236" s="287" t="str">
        <f t="shared" si="17"/>
        <v xml:space="preserve">Write_MMR(DDRSS_DDRPHY_DX1GCR4,0x0E00B03C); /* DATX8 n General Configuration Register 4 */  </v>
      </c>
    </row>
    <row r="237" spans="2:9" s="287" customFormat="1" ht="13.5">
      <c r="C237" s="287" t="s">
        <v>753</v>
      </c>
      <c r="D237" s="287" t="s">
        <v>829</v>
      </c>
      <c r="E237" s="287" t="s">
        <v>448</v>
      </c>
      <c r="F237" s="287" t="str">
        <f>Registers!C1019</f>
        <v>0x0E00B03C</v>
      </c>
      <c r="G237" s="287" t="s">
        <v>455</v>
      </c>
      <c r="H237" s="287" t="s">
        <v>746</v>
      </c>
      <c r="I237" s="287" t="str">
        <f t="shared" si="17"/>
        <v xml:space="preserve">Write_MMR(DDRSS_DDRPHY_DX2GCR4,0x0E00B03C); /* DATX8 n General Configuration Register 4 */  </v>
      </c>
    </row>
    <row r="238" spans="2:9" s="287" customFormat="1" ht="13.5">
      <c r="C238" s="287" t="s">
        <v>753</v>
      </c>
      <c r="D238" s="287" t="s">
        <v>830</v>
      </c>
      <c r="E238" s="287" t="s">
        <v>448</v>
      </c>
      <c r="F238" s="287" t="str">
        <f>Registers!C1019</f>
        <v>0x0E00B03C</v>
      </c>
      <c r="G238" s="287" t="s">
        <v>455</v>
      </c>
      <c r="H238" s="287" t="s">
        <v>745</v>
      </c>
      <c r="I238" s="287" t="str">
        <f t="shared" si="17"/>
        <v xml:space="preserve">Write_MMR(DDRSS_DDRPHY_DX3GCR4,0x0E00B03C); /* DATX8 n General Configuration Register 4 */ </v>
      </c>
    </row>
    <row r="239" spans="2:9" s="287" customFormat="1" ht="13.5">
      <c r="C239" s="287" t="s">
        <v>753</v>
      </c>
      <c r="D239" s="287" t="s">
        <v>1056</v>
      </c>
      <c r="E239" s="287" t="s">
        <v>448</v>
      </c>
      <c r="F239" s="287" t="str">
        <f>Registers!C1019</f>
        <v>0x0E00B03C</v>
      </c>
      <c r="G239" s="287" t="s">
        <v>455</v>
      </c>
      <c r="H239" s="287" t="s">
        <v>745</v>
      </c>
      <c r="I239" s="287" t="str">
        <f t="shared" si="17"/>
        <v xml:space="preserve">Write_MMR(DDRSS_DDRPHY_DX4GCR4,0x0E00B03C); /* DATX8 n General Configuration Register 4 */ </v>
      </c>
    </row>
    <row r="240" spans="2:9" s="287" customFormat="1" ht="13.5">
      <c r="I240" s="287" t="str">
        <f t="shared" si="17"/>
        <v/>
      </c>
    </row>
    <row r="241" spans="2:9" s="287" customFormat="1" ht="13.5">
      <c r="B241" s="287" t="s">
        <v>444</v>
      </c>
      <c r="C241" s="287" t="s">
        <v>1203</v>
      </c>
      <c r="D241" s="294">
        <f>IF(Memory_Type="DDR3L","25.12",IF(Memory_Type="DDR4",'VREF (DDR4)'!K22,'VREF (LPDDR4)'!K22))</f>
        <v>34.19</v>
      </c>
      <c r="E241" s="287" t="s">
        <v>1083</v>
      </c>
      <c r="I241" s="287" t="str">
        <f t="shared" si="17"/>
        <v>//VREF DQS and DQ =34.19%</v>
      </c>
    </row>
    <row r="242" spans="2:9" s="287" customFormat="1" ht="13.5">
      <c r="C242" s="287" t="s">
        <v>753</v>
      </c>
      <c r="D242" s="287" t="s">
        <v>802</v>
      </c>
      <c r="E242" s="287" t="s">
        <v>448</v>
      </c>
      <c r="F242" s="287" t="str">
        <f>Registers!C1041</f>
        <v>0x01010004</v>
      </c>
      <c r="G242" s="287" t="s">
        <v>455</v>
      </c>
      <c r="H242" s="287" t="s">
        <v>1184</v>
      </c>
      <c r="I242" s="287" t="str">
        <f t="shared" si="17"/>
        <v xml:space="preserve">Write_MMR(DDRSS_DDRPHY_PGCR5,0x01010004); /* PHY General Configuration Register 5*/ </v>
      </c>
    </row>
    <row r="243" spans="2:9" s="287" customFormat="1" ht="13.5">
      <c r="C243" s="287" t="s">
        <v>753</v>
      </c>
      <c r="D243" s="287" t="s">
        <v>831</v>
      </c>
      <c r="E243" s="287" t="s">
        <v>448</v>
      </c>
      <c r="F243" s="287" t="str">
        <f>Registers!C1030</f>
        <v>0x00000049</v>
      </c>
      <c r="G243" s="287" t="s">
        <v>455</v>
      </c>
      <c r="H243" s="287" t="s">
        <v>747</v>
      </c>
      <c r="I243" s="287" t="str">
        <f t="shared" si="17"/>
        <v xml:space="preserve">Write_MMR(DDRSS_DDRPHY_DX0GCR5,0x00000049); /* DATX8 n General Configuration Register 5 */ </v>
      </c>
    </row>
    <row r="244" spans="2:9" s="287" customFormat="1" ht="13.5">
      <c r="C244" s="287" t="s">
        <v>753</v>
      </c>
      <c r="D244" s="287" t="s">
        <v>832</v>
      </c>
      <c r="E244" s="287" t="s">
        <v>448</v>
      </c>
      <c r="F244" s="287" t="str">
        <f>Registers!C1030</f>
        <v>0x00000049</v>
      </c>
      <c r="G244" s="287" t="s">
        <v>455</v>
      </c>
      <c r="H244" s="287" t="s">
        <v>748</v>
      </c>
      <c r="I244" s="287" t="str">
        <f t="shared" si="17"/>
        <v xml:space="preserve">Write_MMR(DDRSS_DDRPHY_DX1GCR5,0x00000049); /* DATX8 n General Configuration Register 5 */  </v>
      </c>
    </row>
    <row r="245" spans="2:9" s="287" customFormat="1" ht="13.5">
      <c r="C245" s="287" t="s">
        <v>753</v>
      </c>
      <c r="D245" s="287" t="s">
        <v>833</v>
      </c>
      <c r="E245" s="287" t="s">
        <v>448</v>
      </c>
      <c r="F245" s="287" t="str">
        <f>Registers!C1030</f>
        <v>0x00000049</v>
      </c>
      <c r="G245" s="287" t="s">
        <v>455</v>
      </c>
      <c r="H245" s="287" t="s">
        <v>748</v>
      </c>
      <c r="I245" s="287" t="str">
        <f t="shared" si="17"/>
        <v xml:space="preserve">Write_MMR(DDRSS_DDRPHY_DX2GCR5,0x00000049); /* DATX8 n General Configuration Register 5 */  </v>
      </c>
    </row>
    <row r="246" spans="2:9" s="287" customFormat="1" ht="13.5">
      <c r="C246" s="287" t="s">
        <v>753</v>
      </c>
      <c r="D246" s="287" t="s">
        <v>834</v>
      </c>
      <c r="E246" s="287" t="s">
        <v>448</v>
      </c>
      <c r="F246" s="287" t="str">
        <f>Registers!C1030</f>
        <v>0x00000049</v>
      </c>
      <c r="G246" s="287" t="s">
        <v>455</v>
      </c>
      <c r="H246" s="287" t="s">
        <v>747</v>
      </c>
      <c r="I246" s="287" t="str">
        <f t="shared" si="17"/>
        <v xml:space="preserve">Write_MMR(DDRSS_DDRPHY_DX3GCR5,0x00000049); /* DATX8 n General Configuration Register 5 */ </v>
      </c>
    </row>
    <row r="247" spans="2:9" s="287" customFormat="1" ht="13.5">
      <c r="C247" s="287" t="s">
        <v>753</v>
      </c>
      <c r="D247" s="287" t="s">
        <v>1066</v>
      </c>
      <c r="E247" s="287" t="s">
        <v>448</v>
      </c>
      <c r="F247" s="287" t="str">
        <f>Registers!C1030</f>
        <v>0x00000049</v>
      </c>
      <c r="G247" s="287" t="s">
        <v>455</v>
      </c>
      <c r="H247" s="287" t="s">
        <v>747</v>
      </c>
      <c r="I247" s="287" t="str">
        <f t="shared" si="17"/>
        <v xml:space="preserve">Write_MMR(DDRSS_DDRPHY_DX4GCR5,0x00000049); /* DATX8 n General Configuration Register 5 */ </v>
      </c>
    </row>
    <row r="248" spans="2:9" s="287" customFormat="1" ht="13.5">
      <c r="I248" s="287" t="str">
        <f t="shared" si="17"/>
        <v/>
      </c>
    </row>
    <row r="249" spans="2:9" s="287" customFormat="1" ht="13.5">
      <c r="C249" s="287" t="s">
        <v>753</v>
      </c>
      <c r="D249" s="287" t="s">
        <v>835</v>
      </c>
      <c r="E249" s="287" t="s">
        <v>448</v>
      </c>
      <c r="F249" s="287" t="s">
        <v>135</v>
      </c>
      <c r="G249" s="287" t="s">
        <v>455</v>
      </c>
      <c r="H249" s="287" t="s">
        <v>465</v>
      </c>
      <c r="I249" s="287" t="str">
        <f t="shared" si="17"/>
        <v xml:space="preserve">Write_MMR(DDRSS_DDRPHY_RANKIDR,0x00000000); /* Rank ID Register */ </v>
      </c>
    </row>
    <row r="250" spans="2:9" s="287" customFormat="1" ht="13.5">
      <c r="C250" s="287" t="s">
        <v>753</v>
      </c>
      <c r="D250" s="287" t="s">
        <v>836</v>
      </c>
      <c r="E250" s="287" t="s">
        <v>448</v>
      </c>
      <c r="F250" s="287" t="s">
        <v>1430</v>
      </c>
      <c r="G250" s="287" t="s">
        <v>455</v>
      </c>
      <c r="H250" s="287" t="s">
        <v>466</v>
      </c>
      <c r="I250" s="287" t="str">
        <f t="shared" si="17"/>
        <v xml:space="preserve">Write_MMR(DDRSS_DDRPHY_DX0GTR0,0x00020002); /* DATX8 n General Timing Register 0 */ </v>
      </c>
    </row>
    <row r="251" spans="2:9" s="287" customFormat="1" ht="13.5">
      <c r="C251" s="287" t="s">
        <v>753</v>
      </c>
      <c r="D251" s="287" t="s">
        <v>837</v>
      </c>
      <c r="E251" s="287" t="s">
        <v>448</v>
      </c>
      <c r="F251" s="287" t="s">
        <v>1430</v>
      </c>
      <c r="G251" s="287" t="s">
        <v>455</v>
      </c>
      <c r="H251" s="287" t="s">
        <v>466</v>
      </c>
      <c r="I251" s="287" t="str">
        <f t="shared" si="17"/>
        <v xml:space="preserve">Write_MMR(DDRSS_DDRPHY_DX1GTR0,0x00020002); /* DATX8 n General Timing Register 0 */ </v>
      </c>
    </row>
    <row r="252" spans="2:9" s="287" customFormat="1" ht="13.5">
      <c r="C252" s="287" t="s">
        <v>753</v>
      </c>
      <c r="D252" s="287" t="s">
        <v>838</v>
      </c>
      <c r="E252" s="287" t="s">
        <v>448</v>
      </c>
      <c r="F252" s="287" t="s">
        <v>1430</v>
      </c>
      <c r="G252" s="287" t="s">
        <v>455</v>
      </c>
      <c r="H252" s="287" t="s">
        <v>466</v>
      </c>
      <c r="I252" s="287" t="str">
        <f t="shared" si="17"/>
        <v xml:space="preserve">Write_MMR(DDRSS_DDRPHY_DX2GTR0,0x00020002); /* DATX8 n General Timing Register 0 */ </v>
      </c>
    </row>
    <row r="253" spans="2:9" s="287" customFormat="1" ht="13.5">
      <c r="C253" s="287" t="s">
        <v>753</v>
      </c>
      <c r="D253" s="287" t="s">
        <v>839</v>
      </c>
      <c r="E253" s="287" t="s">
        <v>448</v>
      </c>
      <c r="F253" s="287" t="s">
        <v>1430</v>
      </c>
      <c r="G253" s="287" t="s">
        <v>455</v>
      </c>
      <c r="H253" s="287" t="s">
        <v>466</v>
      </c>
      <c r="I253" s="287" t="str">
        <f t="shared" si="17"/>
        <v xml:space="preserve">Write_MMR(DDRSS_DDRPHY_DX3GTR0,0x00020002); /* DATX8 n General Timing Register 0 */ </v>
      </c>
    </row>
    <row r="254" spans="2:9" s="287" customFormat="1" ht="13.5">
      <c r="C254" s="287" t="s">
        <v>753</v>
      </c>
      <c r="D254" s="287" t="s">
        <v>1068</v>
      </c>
      <c r="E254" s="287" t="s">
        <v>448</v>
      </c>
      <c r="F254" s="287" t="s">
        <v>1430</v>
      </c>
      <c r="G254" s="287" t="s">
        <v>455</v>
      </c>
      <c r="H254" s="287" t="s">
        <v>466</v>
      </c>
      <c r="I254" s="287" t="str">
        <f t="shared" si="17"/>
        <v xml:space="preserve">Write_MMR(DDRSS_DDRPHY_DX4GTR0,0x00020002); /* DATX8 n General Timing Register 0 */ </v>
      </c>
    </row>
    <row r="255" spans="2:9" s="287" customFormat="1" ht="13.5">
      <c r="C255" s="287" t="s">
        <v>753</v>
      </c>
      <c r="D255" s="287" t="s">
        <v>840</v>
      </c>
      <c r="E255" s="287" t="s">
        <v>448</v>
      </c>
      <c r="F255" s="287" t="s">
        <v>749</v>
      </c>
      <c r="G255" s="287" t="s">
        <v>449</v>
      </c>
      <c r="H255" s="287" t="s">
        <v>552</v>
      </c>
      <c r="I255" s="287" t="str">
        <f t="shared" si="17"/>
        <v xml:space="preserve">Write_MMR(DDRSS_DDRPHY_ODTCR,0x00010000);/* ODT Configuration Register for rank 0 */ </v>
      </c>
    </row>
    <row r="256" spans="2:9" s="287" customFormat="1" ht="13.5">
      <c r="I256" s="287" t="str">
        <f t="shared" si="17"/>
        <v/>
      </c>
    </row>
    <row r="257" spans="2:9" s="287" customFormat="1" ht="13.5">
      <c r="C257" s="287" t="s">
        <v>753</v>
      </c>
      <c r="D257" s="287" t="s">
        <v>835</v>
      </c>
      <c r="E257" s="287" t="s">
        <v>448</v>
      </c>
      <c r="F257" s="287" t="s">
        <v>447</v>
      </c>
      <c r="G257" s="287" t="s">
        <v>455</v>
      </c>
      <c r="H257" s="287" t="s">
        <v>465</v>
      </c>
      <c r="I257" s="287" t="str">
        <f t="shared" si="17"/>
        <v xml:space="preserve">Write_MMR(DDRSS_DDRPHY_RANKIDR,0x00010001 ); /* Rank ID Register */ </v>
      </c>
    </row>
    <row r="258" spans="2:9" s="287" customFormat="1" ht="13.5">
      <c r="C258" s="287" t="s">
        <v>753</v>
      </c>
      <c r="D258" s="287" t="s">
        <v>836</v>
      </c>
      <c r="E258" s="287" t="s">
        <v>448</v>
      </c>
      <c r="F258" s="287" t="s">
        <v>1430</v>
      </c>
      <c r="G258" s="287" t="s">
        <v>455</v>
      </c>
      <c r="H258" s="287" t="s">
        <v>466</v>
      </c>
      <c r="I258" s="287" t="str">
        <f t="shared" si="17"/>
        <v xml:space="preserve">Write_MMR(DDRSS_DDRPHY_DX0GTR0,0x00020002); /* DATX8 n General Timing Register 0 */ </v>
      </c>
    </row>
    <row r="259" spans="2:9" s="287" customFormat="1" ht="13.5">
      <c r="C259" s="287" t="s">
        <v>753</v>
      </c>
      <c r="D259" s="287" t="s">
        <v>837</v>
      </c>
      <c r="E259" s="287" t="s">
        <v>448</v>
      </c>
      <c r="F259" s="287" t="s">
        <v>1430</v>
      </c>
      <c r="G259" s="287" t="s">
        <v>455</v>
      </c>
      <c r="H259" s="287" t="s">
        <v>466</v>
      </c>
      <c r="I259" s="287" t="str">
        <f t="shared" si="17"/>
        <v xml:space="preserve">Write_MMR(DDRSS_DDRPHY_DX1GTR0,0x00020002); /* DATX8 n General Timing Register 0 */ </v>
      </c>
    </row>
    <row r="260" spans="2:9" s="287" customFormat="1" ht="13.5">
      <c r="C260" s="287" t="s">
        <v>753</v>
      </c>
      <c r="D260" s="287" t="s">
        <v>838</v>
      </c>
      <c r="E260" s="287" t="s">
        <v>448</v>
      </c>
      <c r="F260" s="287" t="s">
        <v>1430</v>
      </c>
      <c r="G260" s="287" t="s">
        <v>455</v>
      </c>
      <c r="H260" s="287" t="s">
        <v>466</v>
      </c>
      <c r="I260" s="287" t="str">
        <f t="shared" si="17"/>
        <v xml:space="preserve">Write_MMR(DDRSS_DDRPHY_DX2GTR0,0x00020002); /* DATX8 n General Timing Register 0 */ </v>
      </c>
    </row>
    <row r="261" spans="2:9" s="287" customFormat="1" ht="13.5">
      <c r="C261" s="287" t="s">
        <v>753</v>
      </c>
      <c r="D261" s="287" t="s">
        <v>839</v>
      </c>
      <c r="E261" s="287" t="s">
        <v>448</v>
      </c>
      <c r="F261" s="287" t="s">
        <v>1430</v>
      </c>
      <c r="G261" s="287" t="s">
        <v>455</v>
      </c>
      <c r="H261" s="287" t="s">
        <v>466</v>
      </c>
      <c r="I261" s="287" t="str">
        <f t="shared" si="17"/>
        <v xml:space="preserve">Write_MMR(DDRSS_DDRPHY_DX3GTR0,0x00020002); /* DATX8 n General Timing Register 0 */ </v>
      </c>
    </row>
    <row r="262" spans="2:9" s="287" customFormat="1" ht="13.5">
      <c r="C262" s="287" t="s">
        <v>753</v>
      </c>
      <c r="D262" s="287" t="s">
        <v>1068</v>
      </c>
      <c r="E262" s="287" t="s">
        <v>448</v>
      </c>
      <c r="F262" s="287" t="s">
        <v>1430</v>
      </c>
      <c r="G262" s="287" t="s">
        <v>455</v>
      </c>
      <c r="H262" s="287" t="s">
        <v>466</v>
      </c>
      <c r="I262" s="287" t="str">
        <f t="shared" si="17"/>
        <v xml:space="preserve">Write_MMR(DDRSS_DDRPHY_DX4GTR0,0x00020002); /* DATX8 n General Timing Register 0 */ </v>
      </c>
    </row>
    <row r="263" spans="2:9" s="287" customFormat="1" ht="13.5">
      <c r="C263" s="287" t="s">
        <v>753</v>
      </c>
      <c r="D263" s="287" t="s">
        <v>840</v>
      </c>
      <c r="E263" s="287" t="s">
        <v>448</v>
      </c>
      <c r="F263" s="287" t="str">
        <f>IF(DDR_Rank="Dual_Rank","0x00020002","0x00010000")</f>
        <v>0x00010000</v>
      </c>
      <c r="G263" s="287" t="s">
        <v>449</v>
      </c>
      <c r="H263" s="287" t="s">
        <v>551</v>
      </c>
      <c r="I263" s="287" t="str">
        <f t="shared" si="17"/>
        <v xml:space="preserve">Write_MMR(DDRSS_DDRPHY_ODTCR,0x00010000);/* ODT Configuration Register for rank 1 */ </v>
      </c>
    </row>
    <row r="264" spans="2:9" s="287" customFormat="1" ht="13.5">
      <c r="I264" s="287" t="str">
        <f t="shared" si="17"/>
        <v/>
      </c>
    </row>
    <row r="265" spans="2:9" s="287" customFormat="1" ht="13.5">
      <c r="C265" s="287" t="s">
        <v>753</v>
      </c>
      <c r="D265" s="287" t="s">
        <v>841</v>
      </c>
      <c r="E265" s="287" t="s">
        <v>448</v>
      </c>
      <c r="F265" s="287" t="str">
        <f>Registers!C616</f>
        <v>0x74800000</v>
      </c>
      <c r="G265" s="287" t="s">
        <v>455</v>
      </c>
      <c r="H265" s="287" t="s">
        <v>750</v>
      </c>
      <c r="I265" s="287" t="str">
        <f t="shared" si="17"/>
        <v xml:space="preserve">Write_MMR(DDRSS_DDRPHY_DX8SL0IOCR,0x74800000); /* DATX8 0 I/O Configuration Register */ </v>
      </c>
    </row>
    <row r="266" spans="2:9" s="287" customFormat="1" ht="13.5">
      <c r="C266" s="287" t="s">
        <v>753</v>
      </c>
      <c r="D266" s="287" t="s">
        <v>842</v>
      </c>
      <c r="E266" s="287" t="s">
        <v>448</v>
      </c>
      <c r="F266" s="287" t="str">
        <f>Registers!C616</f>
        <v>0x74800000</v>
      </c>
      <c r="G266" s="287" t="s">
        <v>455</v>
      </c>
      <c r="H266" s="287" t="s">
        <v>751</v>
      </c>
      <c r="I266" s="287" t="str">
        <f t="shared" si="17"/>
        <v xml:space="preserve">Write_MMR(DDRSS_DDRPHY_DX8SL1IOCR,0x74800000); /* DATX8 1 I/O Configuration Register */ </v>
      </c>
    </row>
    <row r="267" spans="2:9" s="287" customFormat="1" ht="13.5">
      <c r="C267" s="287" t="s">
        <v>753</v>
      </c>
      <c r="D267" s="287" t="s">
        <v>843</v>
      </c>
      <c r="E267" s="287" t="s">
        <v>448</v>
      </c>
      <c r="F267" s="287" t="str">
        <f>Registers!C616</f>
        <v>0x74800000</v>
      </c>
      <c r="G267" s="287" t="s">
        <v>455</v>
      </c>
      <c r="H267" s="287" t="s">
        <v>752</v>
      </c>
      <c r="I267" s="287" t="str">
        <f t="shared" si="17"/>
        <v xml:space="preserve">Write_MMR(DDRSS_DDRPHY_DX8SL2IOCR,0x74800000); /* DATX8 2 I/O Configuration Register */ </v>
      </c>
    </row>
    <row r="268" spans="2:9" s="287" customFormat="1" ht="13.5">
      <c r="I268" s="287" t="str">
        <f t="shared" si="17"/>
        <v/>
      </c>
    </row>
    <row r="269" spans="2:9" s="287" customFormat="1" ht="13.5">
      <c r="B269" s="287" t="s">
        <v>444</v>
      </c>
      <c r="C269" s="290" t="s">
        <v>1411</v>
      </c>
      <c r="I269" s="287" t="str">
        <f t="shared" si="17"/>
        <v>//For DDR4, Disable Basic Gate Training (BSTEN=0) in DTCR1, and set PREOEX = 1.5 dram clocks and Static Read Mode</v>
      </c>
    </row>
    <row r="270" spans="2:9" s="287" customFormat="1" ht="13.5">
      <c r="C270" s="287" t="s">
        <v>753</v>
      </c>
      <c r="D270" s="287" t="s">
        <v>844</v>
      </c>
      <c r="E270" s="287" t="s">
        <v>448</v>
      </c>
      <c r="F270" s="287" t="str">
        <f>Registers!C1007</f>
        <v>0x00141830</v>
      </c>
      <c r="G270" s="287" t="s">
        <v>455</v>
      </c>
      <c r="H270" s="287" t="s">
        <v>771</v>
      </c>
      <c r="I270" s="287" t="str">
        <f t="shared" si="17"/>
        <v xml:space="preserve">Write_MMR(DDRSS_DDRPHY_DX8SL0DXCTL2,0x00141830); /* DATX8 0 Data Control Register */ </v>
      </c>
    </row>
    <row r="271" spans="2:9" s="287" customFormat="1" ht="13.5">
      <c r="C271" s="287" t="s">
        <v>753</v>
      </c>
      <c r="D271" s="287" t="s">
        <v>845</v>
      </c>
      <c r="E271" s="287" t="s">
        <v>448</v>
      </c>
      <c r="F271" s="287" t="str">
        <f>Registers!C1007</f>
        <v>0x00141830</v>
      </c>
      <c r="G271" s="287" t="s">
        <v>455</v>
      </c>
      <c r="H271" s="287" t="s">
        <v>772</v>
      </c>
      <c r="I271" s="287" t="str">
        <f t="shared" si="17"/>
        <v xml:space="preserve">Write_MMR(DDRSS_DDRPHY_DX8SL1DXCTL2,0x00141830); /* DATX8 1 Data Control Register */ </v>
      </c>
    </row>
    <row r="272" spans="2:9" s="287" customFormat="1" ht="13.5">
      <c r="C272" s="287" t="s">
        <v>753</v>
      </c>
      <c r="D272" s="287" t="s">
        <v>846</v>
      </c>
      <c r="E272" s="287" t="s">
        <v>448</v>
      </c>
      <c r="F272" s="287" t="str">
        <f>Registers!C1007</f>
        <v>0x00141830</v>
      </c>
      <c r="G272" s="287" t="s">
        <v>455</v>
      </c>
      <c r="H272" s="287" t="s">
        <v>773</v>
      </c>
      <c r="I272" s="287" t="str">
        <f t="shared" si="17"/>
        <v xml:space="preserve">Write_MMR(DDRSS_DDRPHY_DX8SL2DXCTL2,0x00141830); /* DATX8 2 Data Control Register */ </v>
      </c>
    </row>
    <row r="273" spans="1:28" s="287" customFormat="1" ht="13.5"/>
    <row r="274" spans="1:28" s="287" customFormat="1" ht="13.5">
      <c r="C274" s="287" t="s">
        <v>753</v>
      </c>
      <c r="D274" s="287" t="s">
        <v>2367</v>
      </c>
      <c r="E274" s="287" t="s">
        <v>448</v>
      </c>
      <c r="F274" s="287" t="str">
        <f>Registers!C1197</f>
        <v>0x01264300</v>
      </c>
      <c r="G274" s="287" t="s">
        <v>455</v>
      </c>
      <c r="H274" s="287" t="s">
        <v>2364</v>
      </c>
      <c r="I274" s="287" t="str">
        <f t="shared" ref="I274:I276" si="18">CONCATENATE(A274,B274,C274,D274,E274,F274,G274,H274)</f>
        <v xml:space="preserve">Write_MMR(DDRSS_DDRPHY_DX8SL0DQSCTL,0x01264300); /* DATX8 0 DQS Control Register */ </v>
      </c>
    </row>
    <row r="275" spans="1:28" s="287" customFormat="1" ht="13.5">
      <c r="C275" s="287" t="s">
        <v>753</v>
      </c>
      <c r="D275" s="287" t="s">
        <v>2368</v>
      </c>
      <c r="E275" s="287" t="s">
        <v>448</v>
      </c>
      <c r="F275" s="287" t="str">
        <f>Registers!C1197</f>
        <v>0x01264300</v>
      </c>
      <c r="G275" s="287" t="s">
        <v>455</v>
      </c>
      <c r="H275" s="287" t="s">
        <v>2365</v>
      </c>
      <c r="I275" s="287" t="str">
        <f t="shared" si="18"/>
        <v xml:space="preserve">Write_MMR(DDRSS_DDRPHY_DX8SL1DQSCTL,0x01264300); /* DATX8 1 DQS Control Register */ </v>
      </c>
    </row>
    <row r="276" spans="1:28" s="287" customFormat="1" ht="13.5">
      <c r="C276" s="287" t="s">
        <v>753</v>
      </c>
      <c r="D276" s="287" t="s">
        <v>2369</v>
      </c>
      <c r="E276" s="287" t="s">
        <v>448</v>
      </c>
      <c r="F276" s="287" t="str">
        <f>Registers!C1197</f>
        <v>0x01264300</v>
      </c>
      <c r="G276" s="287" t="s">
        <v>455</v>
      </c>
      <c r="H276" s="287" t="s">
        <v>2366</v>
      </c>
      <c r="I276" s="287" t="str">
        <f t="shared" si="18"/>
        <v xml:space="preserve">Write_MMR(DDRSS_DDRPHY_DX8SL2DQSCTL,0x01264300); /* DATX8 2 DQS Control Register */ </v>
      </c>
    </row>
    <row r="277" spans="1:28" s="287" customFormat="1" ht="13.5">
      <c r="A277" s="287" t="s">
        <v>1065</v>
      </c>
      <c r="I277" s="287" t="str">
        <f t="shared" si="17"/>
        <v>}</v>
      </c>
    </row>
    <row r="278" spans="1:28" s="287" customFormat="1" ht="13.5"/>
    <row r="279" spans="1:28" s="287" customFormat="1" ht="13.5">
      <c r="N279" s="287" t="s">
        <v>1412</v>
      </c>
      <c r="O279" s="287">
        <f>IF(DDR_Width=16,1,0)</f>
        <v>0</v>
      </c>
    </row>
    <row r="280" spans="1:28" s="287" customFormat="1" ht="13.5">
      <c r="M280" s="106"/>
      <c r="N280" s="287" t="s">
        <v>1413</v>
      </c>
      <c r="O280" s="287">
        <f>IF('Step1-System Details'!E18="Yes",1,0)</f>
        <v>0</v>
      </c>
    </row>
    <row r="281" spans="1:28" s="287" customFormat="1" ht="13.5">
      <c r="M281" s="106"/>
      <c r="N281" s="106" t="s">
        <v>1218</v>
      </c>
      <c r="O281" s="106">
        <f>IF(HALF_BUS_WIDTH,IF(ENABLE_ECC,IF(Memory_Type="LPDDR4",1,2),IF(Memory_Type="LPDDR4",5,6)),IF(ENABLE_ECC,IF(Memory_Type="LPDDR4","Error",4),IF(Memory_Type="LPDDR4",7,8)))</f>
        <v>8</v>
      </c>
      <c r="P281" s="106"/>
      <c r="Q281" s="106"/>
      <c r="R281" s="106"/>
      <c r="S281" s="106"/>
      <c r="T281" s="106"/>
      <c r="U281" s="106"/>
      <c r="V281" s="106"/>
      <c r="W281" s="106"/>
      <c r="X281" s="106"/>
      <c r="Y281" s="106"/>
      <c r="Z281" s="106"/>
      <c r="AA281" s="106"/>
      <c r="AB281" s="106"/>
    </row>
    <row r="282" spans="1:28" s="287" customFormat="1" ht="14.25" thickBot="1">
      <c r="M282" s="106"/>
      <c r="N282" s="106"/>
      <c r="O282" s="106"/>
      <c r="P282" s="106"/>
      <c r="Q282" s="106"/>
      <c r="R282" s="106"/>
      <c r="S282" s="106"/>
      <c r="T282" s="106"/>
      <c r="U282" s="106"/>
      <c r="V282" s="106"/>
      <c r="W282" s="106"/>
      <c r="X282" s="106"/>
      <c r="Y282" s="106"/>
      <c r="Z282" s="106"/>
      <c r="AA282" s="106"/>
      <c r="AB282" s="106"/>
    </row>
    <row r="283" spans="1:28" s="287" customFormat="1" ht="13.5">
      <c r="M283" s="106"/>
      <c r="N283" s="119"/>
      <c r="O283" s="120"/>
      <c r="P283" s="121"/>
      <c r="Q283" s="118" t="s">
        <v>1216</v>
      </c>
      <c r="R283" s="110"/>
      <c r="S283" s="111"/>
      <c r="T283" s="109" t="s">
        <v>1217</v>
      </c>
      <c r="U283" s="110"/>
      <c r="V283" s="111"/>
      <c r="W283" s="109" t="s">
        <v>1209</v>
      </c>
      <c r="X283" s="110"/>
      <c r="Y283" s="117"/>
      <c r="Z283" s="109" t="s">
        <v>1210</v>
      </c>
      <c r="AA283" s="110"/>
      <c r="AB283" s="117"/>
    </row>
    <row r="284" spans="1:28" s="287" customFormat="1" ht="13.5">
      <c r="M284" s="106"/>
      <c r="N284" s="112" t="s">
        <v>30</v>
      </c>
      <c r="O284" s="104" t="s">
        <v>1207</v>
      </c>
      <c r="P284" s="122" t="s">
        <v>1208</v>
      </c>
      <c r="Q284" s="107" t="s">
        <v>1213</v>
      </c>
      <c r="R284" s="104" t="s">
        <v>1214</v>
      </c>
      <c r="S284" s="113" t="s">
        <v>1215</v>
      </c>
      <c r="T284" s="112" t="s">
        <v>1213</v>
      </c>
      <c r="U284" s="104" t="s">
        <v>1214</v>
      </c>
      <c r="V284" s="113" t="s">
        <v>1215</v>
      </c>
      <c r="W284" s="112" t="s">
        <v>1213</v>
      </c>
      <c r="X284" s="104" t="s">
        <v>1214</v>
      </c>
      <c r="Y284" s="113" t="s">
        <v>1215</v>
      </c>
      <c r="Z284" s="112" t="s">
        <v>1213</v>
      </c>
      <c r="AA284" s="104" t="s">
        <v>1214</v>
      </c>
      <c r="AB284" s="113" t="s">
        <v>1215</v>
      </c>
    </row>
    <row r="285" spans="1:28">
      <c r="M285" s="106">
        <v>1</v>
      </c>
      <c r="N285" s="123">
        <v>16</v>
      </c>
      <c r="O285" s="124" t="s">
        <v>1207</v>
      </c>
      <c r="P285" s="125" t="s">
        <v>154</v>
      </c>
      <c r="Q285" s="295" t="s">
        <v>1382</v>
      </c>
      <c r="R285" s="295" t="s">
        <v>1382</v>
      </c>
      <c r="S285" s="108" t="s">
        <v>1429</v>
      </c>
      <c r="T285" s="296" t="s">
        <v>1383</v>
      </c>
      <c r="U285" s="296" t="s">
        <v>1383</v>
      </c>
      <c r="V285" s="115" t="s">
        <v>1061</v>
      </c>
      <c r="W285" s="296" t="s">
        <v>135</v>
      </c>
      <c r="X285" s="296" t="s">
        <v>135</v>
      </c>
      <c r="Y285" s="115" t="s">
        <v>1380</v>
      </c>
      <c r="Z285" s="296" t="s">
        <v>1384</v>
      </c>
      <c r="AA285" s="296" t="s">
        <v>1384</v>
      </c>
      <c r="AB285" s="114" t="s">
        <v>1381</v>
      </c>
    </row>
    <row r="286" spans="1:28">
      <c r="M286" s="106">
        <v>2</v>
      </c>
      <c r="N286" s="123">
        <v>16</v>
      </c>
      <c r="O286" s="124" t="s">
        <v>1207</v>
      </c>
      <c r="P286" s="125" t="s">
        <v>1211</v>
      </c>
      <c r="Q286" s="108" t="s">
        <v>1429</v>
      </c>
      <c r="R286" s="108" t="s">
        <v>1429</v>
      </c>
      <c r="S286" s="295" t="s">
        <v>1382</v>
      </c>
      <c r="T286" s="114" t="s">
        <v>1061</v>
      </c>
      <c r="U286" s="114" t="s">
        <v>1061</v>
      </c>
      <c r="V286" s="296" t="s">
        <v>1516</v>
      </c>
      <c r="W286" s="114" t="s">
        <v>1380</v>
      </c>
      <c r="X286" s="114" t="s">
        <v>1380</v>
      </c>
      <c r="Y286" s="296" t="s">
        <v>135</v>
      </c>
      <c r="Z286" s="114" t="s">
        <v>1381</v>
      </c>
      <c r="AA286" s="114" t="s">
        <v>1381</v>
      </c>
      <c r="AB286" s="296" t="s">
        <v>1384</v>
      </c>
    </row>
    <row r="287" spans="1:28">
      <c r="M287" s="106">
        <v>3</v>
      </c>
      <c r="N287" s="123">
        <v>32</v>
      </c>
      <c r="O287" s="124" t="s">
        <v>1207</v>
      </c>
      <c r="P287" s="125" t="s">
        <v>154</v>
      </c>
      <c r="Q287" s="108" t="s">
        <v>117</v>
      </c>
      <c r="R287" s="105" t="s">
        <v>117</v>
      </c>
      <c r="S287" s="115" t="s">
        <v>117</v>
      </c>
      <c r="T287" s="114" t="s">
        <v>117</v>
      </c>
      <c r="U287" s="105" t="s">
        <v>117</v>
      </c>
      <c r="V287" s="115" t="s">
        <v>117</v>
      </c>
      <c r="W287" s="114" t="s">
        <v>117</v>
      </c>
      <c r="X287" s="105" t="s">
        <v>117</v>
      </c>
      <c r="Y287" s="115" t="s">
        <v>117</v>
      </c>
      <c r="Z287" s="114" t="s">
        <v>117</v>
      </c>
      <c r="AA287" s="105" t="s">
        <v>117</v>
      </c>
      <c r="AB287" s="115" t="s">
        <v>117</v>
      </c>
    </row>
    <row r="288" spans="1:28">
      <c r="M288" s="106">
        <v>4</v>
      </c>
      <c r="N288" s="123">
        <v>32</v>
      </c>
      <c r="O288" s="124" t="s">
        <v>1207</v>
      </c>
      <c r="P288" s="125" t="s">
        <v>1211</v>
      </c>
      <c r="Q288" s="295" t="s">
        <v>1382</v>
      </c>
      <c r="R288" s="295" t="s">
        <v>1382</v>
      </c>
      <c r="S288" s="295" t="s">
        <v>1382</v>
      </c>
      <c r="T288" s="296" t="s">
        <v>1383</v>
      </c>
      <c r="U288" s="296" t="s">
        <v>1383</v>
      </c>
      <c r="V288" s="296" t="s">
        <v>1515</v>
      </c>
      <c r="W288" s="296" t="s">
        <v>135</v>
      </c>
      <c r="X288" s="296" t="s">
        <v>135</v>
      </c>
      <c r="Y288" s="296" t="s">
        <v>135</v>
      </c>
      <c r="Z288" s="296" t="s">
        <v>1384</v>
      </c>
      <c r="AA288" s="296" t="s">
        <v>1384</v>
      </c>
      <c r="AB288" s="296" t="s">
        <v>1384</v>
      </c>
    </row>
    <row r="289" spans="13:28">
      <c r="M289" s="106">
        <v>5</v>
      </c>
      <c r="N289" s="123">
        <v>16</v>
      </c>
      <c r="O289" s="124" t="s">
        <v>1212</v>
      </c>
      <c r="P289" s="125" t="s">
        <v>154</v>
      </c>
      <c r="Q289" s="108" t="s">
        <v>1429</v>
      </c>
      <c r="R289" s="108" t="s">
        <v>1429</v>
      </c>
      <c r="S289" s="108" t="s">
        <v>1429</v>
      </c>
      <c r="T289" s="114" t="s">
        <v>1061</v>
      </c>
      <c r="U289" s="105" t="s">
        <v>1061</v>
      </c>
      <c r="V289" s="115" t="s">
        <v>1061</v>
      </c>
      <c r="W289" s="114" t="s">
        <v>1380</v>
      </c>
      <c r="X289" s="114" t="s">
        <v>1380</v>
      </c>
      <c r="Y289" s="114" t="s">
        <v>1380</v>
      </c>
      <c r="Z289" s="114" t="s">
        <v>1381</v>
      </c>
      <c r="AA289" s="114" t="s">
        <v>1381</v>
      </c>
      <c r="AB289" s="114" t="s">
        <v>1381</v>
      </c>
    </row>
    <row r="290" spans="13:28">
      <c r="M290" s="106">
        <v>6</v>
      </c>
      <c r="N290" s="123">
        <v>16</v>
      </c>
      <c r="O290" s="124" t="s">
        <v>1212</v>
      </c>
      <c r="P290" s="125" t="s">
        <v>1211</v>
      </c>
      <c r="Q290" s="108" t="s">
        <v>1429</v>
      </c>
      <c r="R290" s="108" t="s">
        <v>1429</v>
      </c>
      <c r="S290" s="108" t="s">
        <v>1429</v>
      </c>
      <c r="T290" s="114" t="s">
        <v>1061</v>
      </c>
      <c r="U290" s="105" t="s">
        <v>1061</v>
      </c>
      <c r="V290" s="115" t="s">
        <v>1061</v>
      </c>
      <c r="W290" s="114" t="s">
        <v>1380</v>
      </c>
      <c r="X290" s="114" t="s">
        <v>1380</v>
      </c>
      <c r="Y290" s="114" t="s">
        <v>1380</v>
      </c>
      <c r="Z290" s="114" t="s">
        <v>1381</v>
      </c>
      <c r="AA290" s="114" t="s">
        <v>1381</v>
      </c>
      <c r="AB290" s="114" t="s">
        <v>1381</v>
      </c>
    </row>
    <row r="291" spans="13:28">
      <c r="M291" s="106">
        <v>7</v>
      </c>
      <c r="N291" s="123">
        <v>32</v>
      </c>
      <c r="O291" s="124" t="s">
        <v>1212</v>
      </c>
      <c r="P291" s="125" t="s">
        <v>154</v>
      </c>
      <c r="Q291" s="295" t="s">
        <v>1382</v>
      </c>
      <c r="R291" s="295" t="s">
        <v>1382</v>
      </c>
      <c r="S291" s="108" t="s">
        <v>1429</v>
      </c>
      <c r="T291" s="296" t="s">
        <v>1383</v>
      </c>
      <c r="U291" s="296" t="s">
        <v>1383</v>
      </c>
      <c r="V291" s="115" t="s">
        <v>1061</v>
      </c>
      <c r="W291" s="296" t="s">
        <v>135</v>
      </c>
      <c r="X291" s="296" t="s">
        <v>135</v>
      </c>
      <c r="Y291" s="114" t="s">
        <v>1380</v>
      </c>
      <c r="Z291" s="296" t="s">
        <v>1384</v>
      </c>
      <c r="AA291" s="296" t="s">
        <v>1384</v>
      </c>
      <c r="AB291" s="114" t="s">
        <v>1381</v>
      </c>
    </row>
    <row r="292" spans="13:28" ht="13.5" thickBot="1">
      <c r="M292" s="106">
        <v>8</v>
      </c>
      <c r="N292" s="126">
        <v>32</v>
      </c>
      <c r="O292" s="127" t="s">
        <v>1212</v>
      </c>
      <c r="P292" s="128" t="s">
        <v>1211</v>
      </c>
      <c r="Q292" s="295" t="s">
        <v>1382</v>
      </c>
      <c r="R292" s="295" t="s">
        <v>1382</v>
      </c>
      <c r="S292" s="108" t="s">
        <v>1429</v>
      </c>
      <c r="T292" s="296" t="s">
        <v>1383</v>
      </c>
      <c r="U292" s="296" t="s">
        <v>1383</v>
      </c>
      <c r="V292" s="116" t="s">
        <v>1061</v>
      </c>
      <c r="W292" s="296" t="s">
        <v>135</v>
      </c>
      <c r="X292" s="296" t="s">
        <v>135</v>
      </c>
      <c r="Y292" s="114" t="s">
        <v>1380</v>
      </c>
      <c r="Z292" s="296" t="s">
        <v>1384</v>
      </c>
      <c r="AA292" s="296" t="s">
        <v>1384</v>
      </c>
      <c r="AB292" s="114" t="s">
        <v>1381</v>
      </c>
    </row>
    <row r="293" spans="13:28">
      <c r="M293" s="106"/>
      <c r="N293" s="368"/>
      <c r="O293" s="368"/>
      <c r="P293" s="368"/>
      <c r="Q293" s="369"/>
      <c r="R293" s="369"/>
      <c r="S293" s="370"/>
      <c r="T293" s="369"/>
      <c r="U293" s="369"/>
      <c r="V293" s="370"/>
      <c r="W293" s="369"/>
      <c r="X293" s="369"/>
      <c r="Y293" s="370"/>
      <c r="Z293" s="369"/>
      <c r="AA293" s="369"/>
      <c r="AB293" s="370"/>
    </row>
    <row r="332" spans="27:27">
      <c r="AA332" s="132" t="s">
        <v>336</v>
      </c>
    </row>
    <row r="338" spans="26:27">
      <c r="AA338" s="132" t="s">
        <v>336</v>
      </c>
    </row>
    <row r="342" spans="26:27">
      <c r="AA342" s="132" t="s">
        <v>336</v>
      </c>
    </row>
    <row r="345" spans="26:27">
      <c r="Z345" s="132" t="s">
        <v>337</v>
      </c>
    </row>
  </sheetData>
  <sheetProtection password="8E0D" sheet="1" objects="1" scenarios="1"/>
  <phoneticPr fontId="59"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ExportRangetoFile_GEL">
                <anchor moveWithCells="1" sizeWithCells="1">
                  <from>
                    <xdr:col>2</xdr:col>
                    <xdr:colOff>400050</xdr:colOff>
                    <xdr:row>2</xdr:row>
                    <xdr:rowOff>28575</xdr:rowOff>
                  </from>
                  <to>
                    <xdr:col>3</xdr:col>
                    <xdr:colOff>1638300</xdr:colOff>
                    <xdr:row>3</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92D050"/>
  </sheetPr>
  <dimension ref="A2:Y240"/>
  <sheetViews>
    <sheetView tabSelected="1" zoomScaleNormal="100" workbookViewId="0">
      <selection activeCell="I31" sqref="I31"/>
    </sheetView>
  </sheetViews>
  <sheetFormatPr defaultColWidth="9.140625" defaultRowHeight="12.75"/>
  <cols>
    <col min="1" max="1" width="9.28515625" style="132" customWidth="1"/>
    <col min="2" max="2" width="2.28515625" style="132" customWidth="1"/>
    <col min="3" max="3" width="3.140625" style="132" customWidth="1"/>
    <col min="4" max="4" width="21.28515625" style="132" customWidth="1"/>
    <col min="5" max="5" width="29.28515625" style="132" customWidth="1"/>
    <col min="6" max="6" width="40.5703125" style="132" customWidth="1"/>
    <col min="7" max="7" width="51.28515625" style="132" hidden="1" customWidth="1"/>
    <col min="8" max="8" width="10" style="132" customWidth="1"/>
    <col min="9" max="23" width="14.85546875" style="132" customWidth="1"/>
    <col min="24" max="16384" width="9.140625" style="132"/>
  </cols>
  <sheetData>
    <row r="2" spans="3:7">
      <c r="D2" s="345" t="s">
        <v>1478</v>
      </c>
      <c r="E2" s="346"/>
    </row>
    <row r="3" spans="3:7">
      <c r="D3" s="346"/>
      <c r="E3" s="346"/>
    </row>
    <row r="4" spans="3:7" ht="13.5">
      <c r="C4" s="352"/>
      <c r="D4" s="346"/>
      <c r="E4" s="346"/>
    </row>
    <row r="5" spans="3:7" ht="13.5">
      <c r="C5" s="287" t="s">
        <v>1378</v>
      </c>
      <c r="G5" s="287" t="str">
        <f t="shared" ref="G5:G15" si="0">CONCATENATE(C5,D5,E5)</f>
        <v>// SPDX-License-Identifier: GPL-2.0+</v>
      </c>
    </row>
    <row r="6" spans="3:7" ht="13.5">
      <c r="C6" s="132" t="s">
        <v>1379</v>
      </c>
      <c r="G6" s="287" t="str">
        <f t="shared" si="0"/>
        <v>/*</v>
      </c>
    </row>
    <row r="7" spans="3:7" ht="13.5">
      <c r="D7" s="287" t="s">
        <v>2452</v>
      </c>
      <c r="G7" s="287" t="str">
        <f t="shared" si="0"/>
        <v xml:space="preserve"> * Copyright (C) 2020 Texas Instruments Incorporated - http://www.ti.com/</v>
      </c>
    </row>
    <row r="8" spans="3:7" ht="13.5">
      <c r="D8" s="287" t="str">
        <f ca="1">CONCATENATE(" * This file was generated by ",MID(CELL("filename"),SEARCH("[",CELL("filename"))+1, SEARCH("]",CELL("filename"))-SEARCH("[",CELL("filename"))-1))</f>
        <v xml:space="preserve"> * This file was generated by GHMI Plus_EMIF_Tool_2.02 for 666MHz.xlsm</v>
      </c>
      <c r="G8" s="287" t="str">
        <f t="shared" ca="1" si="0"/>
        <v xml:space="preserve"> * This file was generated by GHMI Plus_EMIF_Tool_2.02 for 666MHz.xlsm</v>
      </c>
    </row>
    <row r="9" spans="3:7" ht="13.5">
      <c r="D9" s="287" t="s">
        <v>1441</v>
      </c>
      <c r="G9" s="287" t="str">
        <f t="shared" si="0"/>
        <v xml:space="preserve"> * http://www.ti.com/lit/pdf/spracj0</v>
      </c>
    </row>
    <row r="10" spans="3:7" ht="13.5">
      <c r="D10" s="287" t="s">
        <v>1440</v>
      </c>
      <c r="G10" s="287" t="str">
        <f t="shared" si="0"/>
        <v xml:space="preserve"> * Configuration Parameters</v>
      </c>
    </row>
    <row r="11" spans="3:7" ht="13.5">
      <c r="D11" s="287" t="s">
        <v>1442</v>
      </c>
      <c r="E11" s="353" t="str">
        <f>Memory_Type</f>
        <v>DDR4</v>
      </c>
      <c r="F11" s="287"/>
      <c r="G11" s="287" t="str">
        <f>CONCATENATE(C11,D11," ",E11)</f>
        <v xml:space="preserve"> * Memory Type: DDR4</v>
      </c>
    </row>
    <row r="12" spans="3:7" ht="13.5">
      <c r="D12" s="287" t="s">
        <v>1443</v>
      </c>
      <c r="E12" s="353">
        <f>Data_Rate</f>
        <v>1333</v>
      </c>
      <c r="F12" s="287" t="s">
        <v>1</v>
      </c>
      <c r="G12" s="287" t="str">
        <f>CONCATENATE(C12,D12," ",E12," ",F12)</f>
        <v xml:space="preserve"> * Data Rate: 1333 MT/s</v>
      </c>
    </row>
    <row r="13" spans="3:7" ht="13.5">
      <c r="D13" s="287" t="s">
        <v>1444</v>
      </c>
      <c r="E13" s="353" t="str">
        <f>'Step1-System Details'!E18</f>
        <v>No</v>
      </c>
      <c r="F13" s="287"/>
      <c r="G13" s="287" t="str">
        <f>CONCATENATE(C13,D13," ",E13)</f>
        <v xml:space="preserve"> * ECC Enabled: No</v>
      </c>
    </row>
    <row r="14" spans="3:7" ht="13.5">
      <c r="D14" s="287" t="s">
        <v>1445</v>
      </c>
      <c r="E14" s="353">
        <f>DDR_Width</f>
        <v>32</v>
      </c>
      <c r="F14" s="287" t="s">
        <v>1385</v>
      </c>
      <c r="G14" s="287" t="str">
        <f>CONCATENATE(C14,D14," ",E14," ",F14)</f>
        <v xml:space="preserve"> * Data Width: 32 bits</v>
      </c>
    </row>
    <row r="15" spans="3:7" s="287" customFormat="1" ht="13.5">
      <c r="C15" s="287" t="s">
        <v>1446</v>
      </c>
      <c r="G15" s="287" t="str">
        <f t="shared" si="0"/>
        <v xml:space="preserve"> */</v>
      </c>
    </row>
    <row r="16" spans="3:7" s="287" customFormat="1" ht="13.5">
      <c r="C16" s="287" t="s">
        <v>1205</v>
      </c>
      <c r="D16" s="287" t="s">
        <v>1206</v>
      </c>
      <c r="E16" s="354" t="s">
        <v>1431</v>
      </c>
      <c r="F16" s="353">
        <f>DDR_Memory_Frequency*1000000/2</f>
        <v>333000000</v>
      </c>
      <c r="G16" s="287" t="str">
        <f>CONCATENATE(C16,D16," ",E16," ",F16)</f>
        <v>#define DDR_PLL_FREQUENCY 333000000</v>
      </c>
    </row>
    <row r="17" spans="3:13" s="287" customFormat="1" ht="13.5">
      <c r="C17" s="287" t="s">
        <v>1205</v>
      </c>
      <c r="D17" s="287" t="s">
        <v>1206</v>
      </c>
      <c r="E17" s="287" t="str">
        <f>GEL!D54</f>
        <v>DDRSS_V2H_CTL_REG</v>
      </c>
      <c r="F17" s="287" t="str">
        <f>GEL!F54</f>
        <v>0x000073FF</v>
      </c>
      <c r="G17" s="287" t="str">
        <f>CONCATENATE(C17,D17," ",E17," ",F17)</f>
        <v>#define DDRSS_V2H_CTL_REG 0x000073FF</v>
      </c>
    </row>
    <row r="18" spans="3:13" s="287" customFormat="1" ht="13.5">
      <c r="C18" s="287" t="s">
        <v>1205</v>
      </c>
      <c r="D18" s="287" t="s">
        <v>1206</v>
      </c>
      <c r="E18" s="287" t="str">
        <f>GEL!D59</f>
        <v>DDRSS_DDRCTL_MSTR</v>
      </c>
      <c r="F18" s="287" t="str">
        <f>GEL!F59</f>
        <v>0x81040010</v>
      </c>
      <c r="G18" s="287" t="str">
        <f>CONCATENATE(C18,D18," ",MID(E18,7,LEN(E18)-6)," ",F18)</f>
        <v>#define DDRCTL_MSTR 0x81040010</v>
      </c>
    </row>
    <row r="19" spans="3:13" s="287" customFormat="1" ht="12.75" customHeight="1">
      <c r="C19" s="287" t="s">
        <v>1205</v>
      </c>
      <c r="D19" s="287" t="s">
        <v>1206</v>
      </c>
      <c r="E19" s="287" t="str">
        <f>GEL!D60</f>
        <v>DDRSS_DDRCTL_RFSHCTL0</v>
      </c>
      <c r="F19" s="287" t="str">
        <f>GEL!F60</f>
        <v>0x00210070</v>
      </c>
      <c r="G19" s="287" t="str">
        <f t="shared" ref="G19:G82" si="1">CONCATENATE(C19,D19," ",MID(E19,7,LEN(E19)-6)," ",F19)</f>
        <v>#define DDRCTL_RFSHCTL0 0x00210070</v>
      </c>
      <c r="H19" s="291"/>
      <c r="J19" s="291"/>
      <c r="K19" s="292"/>
      <c r="L19" s="292"/>
      <c r="M19" s="291"/>
    </row>
    <row r="20" spans="3:13" s="287" customFormat="1" ht="13.5">
      <c r="C20" s="287" t="s">
        <v>1205</v>
      </c>
      <c r="D20" s="287" t="s">
        <v>1206</v>
      </c>
      <c r="E20" s="287" t="str">
        <f>GEL!D62</f>
        <v>DDRSS_DDRCTL_ECCCFG0</v>
      </c>
      <c r="F20" s="287" t="str">
        <f>GEL!F62</f>
        <v>0x00000000</v>
      </c>
      <c r="G20" s="287" t="str">
        <f t="shared" si="1"/>
        <v>#define DDRCTL_ECCCFG0 0x00000000</v>
      </c>
    </row>
    <row r="21" spans="3:13" s="287" customFormat="1" ht="13.5">
      <c r="C21" s="287" t="s">
        <v>1205</v>
      </c>
      <c r="D21" s="287" t="s">
        <v>1206</v>
      </c>
      <c r="E21" s="287" t="str">
        <f>GEL!D64</f>
        <v>DDRSS_DDRCTL_RFSHTMG</v>
      </c>
      <c r="F21" s="287" t="str">
        <f>GEL!F64</f>
        <v>0x00510075</v>
      </c>
      <c r="G21" s="287" t="str">
        <f t="shared" si="1"/>
        <v>#define DDRCTL_RFSHTMG 0x00510075</v>
      </c>
    </row>
    <row r="22" spans="3:13" s="287" customFormat="1" ht="13.5">
      <c r="C22" s="287" t="s">
        <v>1205</v>
      </c>
      <c r="D22" s="287" t="s">
        <v>1206</v>
      </c>
      <c r="E22" s="287" t="str">
        <f>GEL!D65</f>
        <v>DDRSS_DDRCTL_CRCPARCTL0</v>
      </c>
      <c r="F22" s="287" t="str">
        <f>GEL!F65</f>
        <v>0x00008000</v>
      </c>
      <c r="G22" s="287" t="str">
        <f t="shared" si="1"/>
        <v>#define DDRCTL_CRCPARCTL0 0x00008000</v>
      </c>
    </row>
    <row r="23" spans="3:13" s="287" customFormat="1" ht="13.5">
      <c r="C23" s="287" t="s">
        <v>1205</v>
      </c>
      <c r="D23" s="287" t="s">
        <v>1206</v>
      </c>
      <c r="E23" s="287" t="str">
        <f>GEL!D66</f>
        <v>DDRSS_DDRCTL_CRCPARCTL1</v>
      </c>
      <c r="F23" s="287" t="str">
        <f>GEL!F66</f>
        <v>0x1A000000</v>
      </c>
      <c r="G23" s="287" t="str">
        <f t="shared" si="1"/>
        <v>#define DDRCTL_CRCPARCTL1 0x1A000000</v>
      </c>
    </row>
    <row r="24" spans="3:13" s="287" customFormat="1" ht="13.5">
      <c r="C24" s="287" t="s">
        <v>1205</v>
      </c>
      <c r="D24" s="287" t="s">
        <v>1206</v>
      </c>
      <c r="E24" s="287" t="str">
        <f>GEL!D67</f>
        <v>DDRSS_DDRCTL_CRCPARCTL2</v>
      </c>
      <c r="F24" s="287" t="str">
        <f>GEL!F67</f>
        <v>0x0048051E</v>
      </c>
      <c r="G24" s="287" t="str">
        <f t="shared" si="1"/>
        <v>#define DDRCTL_CRCPARCTL2 0x0048051E</v>
      </c>
    </row>
    <row r="25" spans="3:13" s="287" customFormat="1" ht="13.5">
      <c r="C25" s="287" t="s">
        <v>1205</v>
      </c>
      <c r="D25" s="287" t="s">
        <v>1206</v>
      </c>
      <c r="E25" s="287" t="str">
        <f>GEL!D68</f>
        <v>DDRSS_DDRCTL_INIT0</v>
      </c>
      <c r="F25" s="287" t="str">
        <f>GEL!F68</f>
        <v>0x400100A3</v>
      </c>
      <c r="G25" s="287" t="str">
        <f t="shared" si="1"/>
        <v>#define DDRCTL_INIT0 0x400100A3</v>
      </c>
    </row>
    <row r="26" spans="3:13" s="287" customFormat="1" ht="13.5">
      <c r="C26" s="287" t="s">
        <v>1205</v>
      </c>
      <c r="D26" s="287" t="s">
        <v>1206</v>
      </c>
      <c r="E26" s="287" t="str">
        <f>GEL!D69</f>
        <v>DDRSS_DDRCTL_INIT1</v>
      </c>
      <c r="F26" s="287" t="str">
        <f>GEL!F69</f>
        <v>0x00420000</v>
      </c>
      <c r="G26" s="287" t="str">
        <f t="shared" si="1"/>
        <v>#define DDRCTL_INIT1 0x00420000</v>
      </c>
    </row>
    <row r="27" spans="3:13" s="287" customFormat="1" ht="13.5">
      <c r="C27" s="287" t="s">
        <v>1205</v>
      </c>
      <c r="D27" s="287" t="s">
        <v>1206</v>
      </c>
      <c r="E27" s="287" t="str">
        <f>GEL!D70</f>
        <v>DDRSS_DDRCTL_INIT3</v>
      </c>
      <c r="F27" s="287" t="str">
        <f>GEL!F70</f>
        <v>0x00140501</v>
      </c>
      <c r="G27" s="287" t="str">
        <f t="shared" si="1"/>
        <v>#define DDRCTL_INIT3 0x00140501</v>
      </c>
    </row>
    <row r="28" spans="3:13" s="287" customFormat="1" ht="13.5">
      <c r="C28" s="287" t="s">
        <v>1205</v>
      </c>
      <c r="D28" s="287" t="s">
        <v>1206</v>
      </c>
      <c r="E28" s="287" t="str">
        <f>GEL!D71</f>
        <v>DDRSS_DDRCTL_INIT4</v>
      </c>
      <c r="F28" s="287" t="str">
        <f>GEL!F71</f>
        <v>0x00000020</v>
      </c>
      <c r="G28" s="287" t="str">
        <f t="shared" si="1"/>
        <v>#define DDRCTL_INIT4 0x00000020</v>
      </c>
    </row>
    <row r="29" spans="3:13" s="287" customFormat="1" ht="13.5">
      <c r="C29" s="287" t="s">
        <v>1205</v>
      </c>
      <c r="D29" s="287" t="s">
        <v>1206</v>
      </c>
      <c r="E29" s="287" t="str">
        <f>GEL!D72</f>
        <v>DDRSS_DDRCTL_INIT5</v>
      </c>
      <c r="F29" s="287" t="str">
        <f>GEL!F72</f>
        <v>0x00100000</v>
      </c>
      <c r="G29" s="287" t="str">
        <f t="shared" si="1"/>
        <v>#define DDRCTL_INIT5 0x00100000</v>
      </c>
    </row>
    <row r="30" spans="3:13" s="287" customFormat="1" ht="13.5">
      <c r="C30" s="287" t="s">
        <v>1205</v>
      </c>
      <c r="D30" s="287" t="s">
        <v>1206</v>
      </c>
      <c r="E30" s="287" t="str">
        <f>GEL!D73</f>
        <v>DDRSS_DDRCTL_INIT6</v>
      </c>
      <c r="F30" s="287" t="str">
        <f>GEL!F73</f>
        <v>0x00000480</v>
      </c>
      <c r="G30" s="287" t="str">
        <f t="shared" si="1"/>
        <v>#define DDRCTL_INIT6 0x00000480</v>
      </c>
    </row>
    <row r="31" spans="3:13" s="287" customFormat="1" ht="13.5">
      <c r="C31" s="287" t="s">
        <v>1205</v>
      </c>
      <c r="D31" s="287" t="s">
        <v>1206</v>
      </c>
      <c r="E31" s="287" t="str">
        <f>GEL!D74</f>
        <v>DDRSS_DDRCTL_INIT7</v>
      </c>
      <c r="F31" s="287" t="str">
        <f>GEL!F74</f>
        <v>0x00000097</v>
      </c>
      <c r="G31" s="287" t="str">
        <f t="shared" si="1"/>
        <v>#define DDRCTL_INIT7 0x00000097</v>
      </c>
    </row>
    <row r="32" spans="3:13" s="287" customFormat="1" ht="13.5">
      <c r="C32" s="287" t="s">
        <v>1205</v>
      </c>
      <c r="D32" s="287" t="s">
        <v>1206</v>
      </c>
      <c r="E32" s="287" t="str">
        <f>GEL!D75</f>
        <v>DDRSS_DDRCTL_DRAMTMG0</v>
      </c>
      <c r="F32" s="287" t="str">
        <f>GEL!F75</f>
        <v>0x0B0A160B</v>
      </c>
      <c r="G32" s="287" t="str">
        <f t="shared" si="1"/>
        <v>#define DDRCTL_DRAMTMG0 0x0B0A160B</v>
      </c>
    </row>
    <row r="33" spans="3:7" s="287" customFormat="1" ht="13.5">
      <c r="C33" s="287" t="s">
        <v>1205</v>
      </c>
      <c r="D33" s="287" t="s">
        <v>1206</v>
      </c>
      <c r="E33" s="287" t="str">
        <f>GEL!D76</f>
        <v>DDRSS_DDRCTL_DRAMTMG1</v>
      </c>
      <c r="F33" s="287" t="str">
        <f>GEL!F76</f>
        <v>0x00020310</v>
      </c>
      <c r="G33" s="287" t="str">
        <f t="shared" si="1"/>
        <v>#define DDRCTL_DRAMTMG1 0x00020310</v>
      </c>
    </row>
    <row r="34" spans="3:7" s="287" customFormat="1" ht="13.5">
      <c r="C34" s="287" t="s">
        <v>1205</v>
      </c>
      <c r="D34" s="287" t="s">
        <v>1206</v>
      </c>
      <c r="E34" s="287" t="str">
        <f>GEL!D77</f>
        <v>DDRSS_DDRCTL_DRAMTMG2</v>
      </c>
      <c r="F34" s="287" t="str">
        <f>GEL!F77</f>
        <v>0x05060509</v>
      </c>
      <c r="G34" s="287" t="str">
        <f t="shared" si="1"/>
        <v>#define DDRCTL_DRAMTMG2 0x05060509</v>
      </c>
    </row>
    <row r="35" spans="3:7" s="287" customFormat="1" ht="13.5">
      <c r="C35" s="287" t="s">
        <v>1205</v>
      </c>
      <c r="D35" s="287" t="s">
        <v>1206</v>
      </c>
      <c r="E35" s="287" t="str">
        <f>GEL!D78</f>
        <v>DDRSS_DDRCTL_DRAMTMG3</v>
      </c>
      <c r="F35" s="287" t="str">
        <f>GEL!F78</f>
        <v>0x0000400C</v>
      </c>
      <c r="G35" s="287" t="str">
        <f t="shared" si="1"/>
        <v>#define DDRCTL_DRAMTMG3 0x0000400C</v>
      </c>
    </row>
    <row r="36" spans="3:7" s="287" customFormat="1" ht="13.5">
      <c r="C36" s="287" t="s">
        <v>1205</v>
      </c>
      <c r="D36" s="287" t="s">
        <v>1206</v>
      </c>
      <c r="E36" s="287" t="str">
        <f>GEL!D79</f>
        <v>DDRSS_DDRCTL_DRAMTMG4</v>
      </c>
      <c r="F36" s="287" t="str">
        <f>GEL!F79</f>
        <v>0x05020205</v>
      </c>
      <c r="G36" s="287" t="str">
        <f t="shared" si="1"/>
        <v>#define DDRCTL_DRAMTMG4 0x05020205</v>
      </c>
    </row>
    <row r="37" spans="3:7" s="287" customFormat="1" ht="13.5">
      <c r="C37" s="287" t="s">
        <v>1205</v>
      </c>
      <c r="D37" s="287" t="s">
        <v>1206</v>
      </c>
      <c r="E37" s="287" t="str">
        <f>GEL!D80</f>
        <v>DDRSS_DDRCTL_DRAMTMG5</v>
      </c>
      <c r="F37" s="287" t="str">
        <f>GEL!F80</f>
        <v>0x04040302</v>
      </c>
      <c r="G37" s="287" t="str">
        <f t="shared" si="1"/>
        <v>#define DDRCTL_DRAMTMG5 0x04040302</v>
      </c>
    </row>
    <row r="38" spans="3:7" s="287" customFormat="1" ht="13.5">
      <c r="C38" s="287" t="s">
        <v>1205</v>
      </c>
      <c r="D38" s="287" t="s">
        <v>1206</v>
      </c>
      <c r="E38" s="287" t="str">
        <f>GEL!D81</f>
        <v>DDRSS_DDRCTL_DRAMTMG6</v>
      </c>
      <c r="F38" s="287" t="str">
        <f>GEL!F81</f>
        <v>0x00000003</v>
      </c>
      <c r="G38" s="287" t="str">
        <f t="shared" si="1"/>
        <v>#define DDRCTL_DRAMTMG6 0x00000003</v>
      </c>
    </row>
    <row r="39" spans="3:7" s="287" customFormat="1" ht="13.5">
      <c r="C39" s="287" t="s">
        <v>1205</v>
      </c>
      <c r="D39" s="287" t="s">
        <v>1206</v>
      </c>
      <c r="E39" s="287" t="str">
        <f>GEL!D82</f>
        <v>DDRSS_DDRCTL_DRAMTMG7</v>
      </c>
      <c r="F39" s="287" t="str">
        <f>GEL!F82</f>
        <v>0x00000404</v>
      </c>
      <c r="G39" s="287" t="str">
        <f t="shared" si="1"/>
        <v>#define DDRCTL_DRAMTMG7 0x00000404</v>
      </c>
    </row>
    <row r="40" spans="3:7" s="287" customFormat="1" ht="13.5">
      <c r="C40" s="287" t="s">
        <v>1205</v>
      </c>
      <c r="D40" s="287" t="s">
        <v>1206</v>
      </c>
      <c r="E40" s="287" t="str">
        <f>GEL!D83</f>
        <v>DDRSS_DDRCTL_DRAMTMG8</v>
      </c>
      <c r="F40" s="287" t="str">
        <f>GEL!F83</f>
        <v>0x02020C04</v>
      </c>
      <c r="G40" s="287" t="str">
        <f t="shared" si="1"/>
        <v>#define DDRCTL_DRAMTMG8 0x02020C04</v>
      </c>
    </row>
    <row r="41" spans="3:7" s="287" customFormat="1" ht="13.5">
      <c r="C41" s="287" t="s">
        <v>1205</v>
      </c>
      <c r="D41" s="287" t="s">
        <v>1206</v>
      </c>
      <c r="E41" s="287" t="str">
        <f>GEL!D84</f>
        <v>DDRSS_DDRCTL_DRAMTMG9</v>
      </c>
      <c r="F41" s="287" t="str">
        <f>GEL!F84</f>
        <v>0x00020208</v>
      </c>
      <c r="G41" s="287" t="str">
        <f t="shared" si="1"/>
        <v>#define DDRCTL_DRAMTMG9 0x00020208</v>
      </c>
    </row>
    <row r="42" spans="3:7" s="287" customFormat="1" ht="13.5">
      <c r="C42" s="287" t="s">
        <v>1205</v>
      </c>
      <c r="D42" s="287" t="s">
        <v>1206</v>
      </c>
      <c r="E42" s="287" t="str">
        <f>GEL!D85</f>
        <v>DDRSS_DDRCTL_DRAMTMG10</v>
      </c>
      <c r="F42" s="287" t="str">
        <f>GEL!F85</f>
        <v>0x001C180A</v>
      </c>
      <c r="G42" s="287" t="str">
        <f t="shared" si="1"/>
        <v>#define DDRCTL_DRAMTMG10 0x001C180A</v>
      </c>
    </row>
    <row r="43" spans="3:7" s="287" customFormat="1" ht="13.5">
      <c r="C43" s="287" t="s">
        <v>1205</v>
      </c>
      <c r="D43" s="287" t="s">
        <v>1206</v>
      </c>
      <c r="E43" s="287" t="str">
        <f>GEL!D86</f>
        <v>DDRSS_DDRCTL_DRAMTMG11</v>
      </c>
      <c r="F43" s="287" t="str">
        <f>GEL!F86</f>
        <v>0x1005010E</v>
      </c>
      <c r="G43" s="287" t="str">
        <f t="shared" si="1"/>
        <v>#define DDRCTL_DRAMTMG11 0x1005010E</v>
      </c>
    </row>
    <row r="44" spans="3:7" s="287" customFormat="1" ht="13.5">
      <c r="C44" s="287" t="s">
        <v>1205</v>
      </c>
      <c r="D44" s="287" t="s">
        <v>1206</v>
      </c>
      <c r="E44" s="287" t="str">
        <f>GEL!D87</f>
        <v>DDRSS_DDRCTL_DRAMTMG12</v>
      </c>
      <c r="F44" s="287" t="str">
        <f>GEL!F87</f>
        <v>0x00020008</v>
      </c>
      <c r="G44" s="287" t="str">
        <f t="shared" si="1"/>
        <v>#define DDRCTL_DRAMTMG12 0x00020008</v>
      </c>
    </row>
    <row r="45" spans="3:7" s="287" customFormat="1" ht="13.5">
      <c r="C45" s="287" t="s">
        <v>1205</v>
      </c>
      <c r="D45" s="287" t="s">
        <v>1206</v>
      </c>
      <c r="E45" s="287" t="str">
        <f>GEL!D88</f>
        <v>DDRSS_DDRCTL_DRAMTMG13</v>
      </c>
      <c r="F45" s="287" t="str">
        <f>GEL!F88</f>
        <v>0x0B100002</v>
      </c>
      <c r="G45" s="287" t="str">
        <f t="shared" si="1"/>
        <v>#define DDRCTL_DRAMTMG13 0x0B100002</v>
      </c>
    </row>
    <row r="46" spans="3:7" s="287" customFormat="1" ht="13.5">
      <c r="C46" s="287" t="s">
        <v>1205</v>
      </c>
      <c r="D46" s="287" t="s">
        <v>1206</v>
      </c>
      <c r="E46" s="287" t="str">
        <f>GEL!D89</f>
        <v>DDRSS_DDRCTL_DRAMTMG14</v>
      </c>
      <c r="F46" s="287" t="str">
        <f>GEL!F89</f>
        <v>0x00000000</v>
      </c>
      <c r="G46" s="287" t="str">
        <f t="shared" si="1"/>
        <v>#define DDRCTL_DRAMTMG14 0x00000000</v>
      </c>
    </row>
    <row r="47" spans="3:7" s="287" customFormat="1" ht="13.5">
      <c r="C47" s="287" t="s">
        <v>1205</v>
      </c>
      <c r="D47" s="287" t="s">
        <v>1206</v>
      </c>
      <c r="E47" s="287" t="str">
        <f>GEL!D90</f>
        <v>DDRSS_DDRCTL_DRAMTMG15</v>
      </c>
      <c r="F47" s="287" t="str">
        <f>GEL!F90</f>
        <v>0x00000035</v>
      </c>
      <c r="G47" s="287" t="str">
        <f t="shared" si="1"/>
        <v>#define DDRCTL_DRAMTMG15 0x00000035</v>
      </c>
    </row>
    <row r="48" spans="3:7" s="287" customFormat="1" ht="13.5">
      <c r="C48" s="287" t="s">
        <v>1205</v>
      </c>
      <c r="D48" s="287" t="s">
        <v>1206</v>
      </c>
      <c r="E48" s="287" t="str">
        <f>GEL!D91</f>
        <v>DDRSS_DDRCTL_DRAMTMG17</v>
      </c>
      <c r="F48" s="287" t="str">
        <f>GEL!F91</f>
        <v>0x00430022</v>
      </c>
      <c r="G48" s="287" t="str">
        <f t="shared" si="1"/>
        <v>#define DDRCTL_DRAMTMG17 0x00430022</v>
      </c>
    </row>
    <row r="49" spans="1:8" s="287" customFormat="1" ht="13.5">
      <c r="C49" s="287" t="s">
        <v>1205</v>
      </c>
      <c r="D49" s="287" t="s">
        <v>1206</v>
      </c>
      <c r="E49" s="287" t="str">
        <f>GEL!D92</f>
        <v>DDRSS_DDRCTL_ZQCTL0</v>
      </c>
      <c r="F49" s="287" t="str">
        <f>GEL!F92</f>
        <v>0x21000040</v>
      </c>
      <c r="G49" s="287" t="str">
        <f t="shared" si="1"/>
        <v>#define DDRCTL_ZQCTL0 0x21000040</v>
      </c>
    </row>
    <row r="50" spans="1:8" s="287" customFormat="1" ht="13.5">
      <c r="C50" s="287" t="s">
        <v>1205</v>
      </c>
      <c r="D50" s="287" t="s">
        <v>1206</v>
      </c>
      <c r="E50" s="287" t="str">
        <f>GEL!D93</f>
        <v>DDRSS_DDRCTL_ZQCTL1</v>
      </c>
      <c r="F50" s="287" t="str">
        <f>GEL!F93</f>
        <v>0x02027BC8</v>
      </c>
      <c r="G50" s="287" t="str">
        <f t="shared" si="1"/>
        <v>#define DDRCTL_ZQCTL1 0x02027BC8</v>
      </c>
    </row>
    <row r="51" spans="1:8" s="287" customFormat="1" ht="13.5">
      <c r="C51" s="287" t="s">
        <v>1205</v>
      </c>
      <c r="D51" s="287" t="s">
        <v>1206</v>
      </c>
      <c r="E51" s="287" t="str">
        <f>GEL!D94</f>
        <v>DDRSS_DDRCTL_DFITMG0</v>
      </c>
      <c r="F51" s="287" t="str">
        <f>GEL!F94</f>
        <v>0x04888206</v>
      </c>
      <c r="G51" s="287" t="str">
        <f t="shared" si="1"/>
        <v>#define DDRCTL_DFITMG0 0x04888206</v>
      </c>
    </row>
    <row r="52" spans="1:8" s="287" customFormat="1" ht="13.5">
      <c r="C52" s="287" t="s">
        <v>1205</v>
      </c>
      <c r="D52" s="287" t="s">
        <v>1206</v>
      </c>
      <c r="E52" s="287" t="str">
        <f>GEL!D95</f>
        <v>DDRSS_DDRCTL_DFITMG1</v>
      </c>
      <c r="F52" s="287" t="str">
        <f>GEL!F95</f>
        <v>0x000A0606</v>
      </c>
      <c r="G52" s="287" t="str">
        <f t="shared" si="1"/>
        <v>#define DDRCTL_DFITMG1 0x000A0606</v>
      </c>
    </row>
    <row r="53" spans="1:8" s="287" customFormat="1" ht="13.5">
      <c r="C53" s="287" t="s">
        <v>1205</v>
      </c>
      <c r="D53" s="287" t="s">
        <v>1206</v>
      </c>
      <c r="E53" s="287" t="str">
        <f>GEL!D96</f>
        <v>DDRSS_DDRCTL_DFITMG2</v>
      </c>
      <c r="F53" s="287" t="str">
        <f>GEL!F96</f>
        <v>0x00000604</v>
      </c>
      <c r="G53" s="287" t="str">
        <f t="shared" si="1"/>
        <v>#define DDRCTL_DFITMG2 0x00000604</v>
      </c>
    </row>
    <row r="54" spans="1:8" s="287" customFormat="1" ht="13.5">
      <c r="C54" s="287" t="s">
        <v>1205</v>
      </c>
      <c r="D54" s="287" t="s">
        <v>1206</v>
      </c>
      <c r="E54" s="287" t="str">
        <f>GEL!D97</f>
        <v>DDRSS_DDRCTL_DFIMISC</v>
      </c>
      <c r="F54" s="287" t="str">
        <f>GEL!F97</f>
        <v>0x00000001</v>
      </c>
      <c r="G54" s="287" t="str">
        <f t="shared" si="1"/>
        <v>#define DDRCTL_DFIMISC 0x00000001</v>
      </c>
    </row>
    <row r="55" spans="1:8" ht="13.5">
      <c r="A55" s="287"/>
      <c r="B55" s="287"/>
      <c r="C55" s="287" t="s">
        <v>1205</v>
      </c>
      <c r="D55" s="287" t="s">
        <v>1206</v>
      </c>
      <c r="E55" s="287" t="str">
        <f>GEL!D98</f>
        <v>DDRSS_DDRCTL_ADDRMAP0</v>
      </c>
      <c r="F55" s="287" t="str">
        <f>GEL!F98</f>
        <v>0x0000001F</v>
      </c>
      <c r="G55" s="287" t="str">
        <f t="shared" si="1"/>
        <v>#define DDRCTL_ADDRMAP0 0x0000001F</v>
      </c>
      <c r="H55" s="287"/>
    </row>
    <row r="56" spans="1:8" ht="13.5">
      <c r="A56" s="287"/>
      <c r="B56" s="287"/>
      <c r="C56" s="287" t="s">
        <v>1205</v>
      </c>
      <c r="D56" s="287" t="s">
        <v>1206</v>
      </c>
      <c r="E56" s="287" t="str">
        <f>GEL!D99</f>
        <v>DDRSS_DDRCTL_ADDRMAP1</v>
      </c>
      <c r="F56" s="287" t="str">
        <f>GEL!F99</f>
        <v>0x003F0808</v>
      </c>
      <c r="G56" s="287" t="str">
        <f t="shared" si="1"/>
        <v>#define DDRCTL_ADDRMAP1 0x003F0808</v>
      </c>
      <c r="H56" s="287"/>
    </row>
    <row r="57" spans="1:8" ht="13.5">
      <c r="A57" s="287"/>
      <c r="B57" s="287"/>
      <c r="C57" s="287" t="s">
        <v>1205</v>
      </c>
      <c r="D57" s="287" t="s">
        <v>1206</v>
      </c>
      <c r="E57" s="287" t="str">
        <f>GEL!D100</f>
        <v>DDRSS_DDRCTL_ADDRMAP2</v>
      </c>
      <c r="F57" s="287" t="str">
        <f>GEL!F100</f>
        <v>0x00000000</v>
      </c>
      <c r="G57" s="287" t="str">
        <f t="shared" si="1"/>
        <v>#define DDRCTL_ADDRMAP2 0x00000000</v>
      </c>
      <c r="H57" s="287"/>
    </row>
    <row r="58" spans="1:8" ht="13.5">
      <c r="A58" s="287"/>
      <c r="B58" s="287"/>
      <c r="C58" s="287" t="s">
        <v>1205</v>
      </c>
      <c r="D58" s="287" t="s">
        <v>1206</v>
      </c>
      <c r="E58" s="287" t="str">
        <f>GEL!D101</f>
        <v>DDRSS_DDRCTL_ADDRMAP3</v>
      </c>
      <c r="F58" s="287" t="str">
        <f>GEL!F101</f>
        <v>0x00000000</v>
      </c>
      <c r="G58" s="287" t="str">
        <f t="shared" si="1"/>
        <v>#define DDRCTL_ADDRMAP3 0x00000000</v>
      </c>
      <c r="H58" s="287"/>
    </row>
    <row r="59" spans="1:8" ht="13.5">
      <c r="A59" s="287"/>
      <c r="B59" s="287"/>
      <c r="C59" s="287" t="s">
        <v>1205</v>
      </c>
      <c r="D59" s="287" t="s">
        <v>1206</v>
      </c>
      <c r="E59" s="287" t="str">
        <f>GEL!D102</f>
        <v>DDRSS_DDRCTL_ADDRMAP4</v>
      </c>
      <c r="F59" s="287" t="str">
        <f>GEL!F102</f>
        <v>0x00001F1F</v>
      </c>
      <c r="G59" s="287" t="str">
        <f t="shared" si="1"/>
        <v>#define DDRCTL_ADDRMAP4 0x00001F1F</v>
      </c>
      <c r="H59" s="287"/>
    </row>
    <row r="60" spans="1:8" ht="13.5">
      <c r="A60" s="287"/>
      <c r="B60" s="287"/>
      <c r="C60" s="287" t="s">
        <v>1205</v>
      </c>
      <c r="D60" s="287" t="s">
        <v>1206</v>
      </c>
      <c r="E60" s="287" t="str">
        <f>GEL!D103</f>
        <v>DDRSS_DDRCTL_ADDRMAP5</v>
      </c>
      <c r="F60" s="287" t="str">
        <f>GEL!F103</f>
        <v>0x07070707</v>
      </c>
      <c r="G60" s="287" t="str">
        <f t="shared" si="1"/>
        <v>#define DDRCTL_ADDRMAP5 0x07070707</v>
      </c>
      <c r="H60" s="287"/>
    </row>
    <row r="61" spans="1:8" ht="13.5">
      <c r="A61" s="287"/>
      <c r="B61" s="287"/>
      <c r="C61" s="287" t="s">
        <v>1205</v>
      </c>
      <c r="D61" s="287" t="s">
        <v>1206</v>
      </c>
      <c r="E61" s="287" t="str">
        <f>GEL!D104</f>
        <v>DDRSS_DDRCTL_ADDRMAP6</v>
      </c>
      <c r="F61" s="287" t="str">
        <f>GEL!F104</f>
        <v>0x0F070707</v>
      </c>
      <c r="G61" s="287" t="str">
        <f t="shared" si="1"/>
        <v>#define DDRCTL_ADDRMAP6 0x0F070707</v>
      </c>
      <c r="H61" s="287"/>
    </row>
    <row r="62" spans="1:8" ht="13.5">
      <c r="A62" s="287"/>
      <c r="B62" s="287"/>
      <c r="C62" s="287" t="s">
        <v>1205</v>
      </c>
      <c r="D62" s="287" t="s">
        <v>1206</v>
      </c>
      <c r="E62" s="287" t="str">
        <f>GEL!D105</f>
        <v>DDRSS_DDRCTL_ADDRMAP7</v>
      </c>
      <c r="F62" s="287" t="str">
        <f>GEL!F105</f>
        <v>0x00000F0F</v>
      </c>
      <c r="G62" s="287" t="str">
        <f t="shared" si="1"/>
        <v>#define DDRCTL_ADDRMAP7 0x00000F0F</v>
      </c>
      <c r="H62" s="291"/>
    </row>
    <row r="63" spans="1:8" ht="13.5">
      <c r="A63" s="287"/>
      <c r="B63" s="287"/>
      <c r="C63" s="287" t="s">
        <v>1205</v>
      </c>
      <c r="D63" s="287" t="s">
        <v>1206</v>
      </c>
      <c r="E63" s="287" t="str">
        <f>GEL!D106</f>
        <v>DDRSS_DDRCTL_ADDRMAP8</v>
      </c>
      <c r="F63" s="287" t="str">
        <f>GEL!F106</f>
        <v>0x00003F0A</v>
      </c>
      <c r="G63" s="287" t="str">
        <f t="shared" si="1"/>
        <v>#define DDRCTL_ADDRMAP8 0x00003F0A</v>
      </c>
      <c r="H63" s="287"/>
    </row>
    <row r="64" spans="1:8" ht="13.5">
      <c r="A64" s="287"/>
      <c r="B64" s="287"/>
      <c r="C64" s="287" t="s">
        <v>1205</v>
      </c>
      <c r="D64" s="287" t="s">
        <v>1206</v>
      </c>
      <c r="E64" s="287" t="str">
        <f>GEL!D107</f>
        <v>DDRSS_DDRCTL_ADDRMAP9</v>
      </c>
      <c r="F64" s="287" t="str">
        <f>GEL!F107</f>
        <v>0x00000000</v>
      </c>
      <c r="G64" s="287" t="str">
        <f t="shared" si="1"/>
        <v>#define DDRCTL_ADDRMAP9 0x00000000</v>
      </c>
      <c r="H64" s="287"/>
    </row>
    <row r="65" spans="1:8" ht="13.5">
      <c r="A65" s="287"/>
      <c r="B65" s="287"/>
      <c r="C65" s="287" t="s">
        <v>1205</v>
      </c>
      <c r="D65" s="287" t="s">
        <v>1206</v>
      </c>
      <c r="E65" s="287" t="str">
        <f>GEL!D108</f>
        <v>DDRSS_DDRCTL_ADDRMAP10</v>
      </c>
      <c r="F65" s="287" t="str">
        <f>GEL!F108</f>
        <v>0x00000000</v>
      </c>
      <c r="G65" s="287" t="str">
        <f t="shared" si="1"/>
        <v>#define DDRCTL_ADDRMAP10 0x00000000</v>
      </c>
      <c r="H65" s="287"/>
    </row>
    <row r="66" spans="1:8" ht="13.5">
      <c r="A66" s="287"/>
      <c r="B66" s="287"/>
      <c r="C66" s="287" t="s">
        <v>1205</v>
      </c>
      <c r="D66" s="287" t="s">
        <v>1206</v>
      </c>
      <c r="E66" s="287" t="str">
        <f>GEL!D109</f>
        <v>DDRSS_DDRCTL_ADDRMAP11</v>
      </c>
      <c r="F66" s="287" t="str">
        <f>GEL!F109</f>
        <v>0x001F1F00</v>
      </c>
      <c r="G66" s="287" t="str">
        <f t="shared" si="1"/>
        <v>#define DDRCTL_ADDRMAP11 0x001F1F00</v>
      </c>
      <c r="H66" s="287"/>
    </row>
    <row r="67" spans="1:8" ht="13.5">
      <c r="A67" s="287"/>
      <c r="B67" s="287"/>
      <c r="C67" s="287" t="s">
        <v>1205</v>
      </c>
      <c r="D67" s="287" t="s">
        <v>1206</v>
      </c>
      <c r="E67" s="287" t="str">
        <f>GEL!D111</f>
        <v>DDRSS_DDRCTL_DQMAP0</v>
      </c>
      <c r="F67" s="287" t="str">
        <f>GEL!F111</f>
        <v>0x00000000</v>
      </c>
      <c r="G67" s="287" t="str">
        <f t="shared" si="1"/>
        <v>#define DDRCTL_DQMAP0 0x00000000</v>
      </c>
      <c r="H67" s="287"/>
    </row>
    <row r="68" spans="1:8" ht="13.5">
      <c r="A68" s="287"/>
      <c r="B68" s="287"/>
      <c r="C68" s="287" t="s">
        <v>1205</v>
      </c>
      <c r="D68" s="287" t="s">
        <v>1206</v>
      </c>
      <c r="E68" s="287" t="str">
        <f>GEL!D112</f>
        <v>DDRSS_DDRCTL_DQMAP1</v>
      </c>
      <c r="F68" s="287" t="str">
        <f>GEL!F112</f>
        <v>0x00000000</v>
      </c>
      <c r="G68" s="287" t="str">
        <f t="shared" si="1"/>
        <v>#define DDRCTL_DQMAP1 0x00000000</v>
      </c>
      <c r="H68" s="287"/>
    </row>
    <row r="69" spans="1:8" ht="13.5">
      <c r="A69" s="287"/>
      <c r="B69" s="287"/>
      <c r="C69" s="287" t="s">
        <v>1205</v>
      </c>
      <c r="D69" s="287" t="s">
        <v>1206</v>
      </c>
      <c r="E69" s="287" t="str">
        <f>GEL!D113</f>
        <v>DDRSS_DDRCTL_DQMAP4</v>
      </c>
      <c r="F69" s="287" t="str">
        <f>GEL!F113</f>
        <v>0x00000000</v>
      </c>
      <c r="G69" s="287" t="str">
        <f t="shared" si="1"/>
        <v>#define DDRCTL_DQMAP4 0x00000000</v>
      </c>
      <c r="H69" s="287"/>
    </row>
    <row r="70" spans="1:8" s="287" customFormat="1" ht="13.5">
      <c r="C70" s="287" t="s">
        <v>1205</v>
      </c>
      <c r="D70" s="287" t="s">
        <v>1206</v>
      </c>
      <c r="E70" s="287" t="str">
        <f>GEL!D114</f>
        <v>DDRSS_DDRCTL_DQMAP5</v>
      </c>
      <c r="F70" s="287" t="str">
        <f>GEL!F114</f>
        <v>0x00000000</v>
      </c>
      <c r="G70" s="287" t="str">
        <f t="shared" si="1"/>
        <v>#define DDRCTL_DQMAP5 0x00000000</v>
      </c>
    </row>
    <row r="71" spans="1:8" s="287" customFormat="1" ht="13.5">
      <c r="C71" s="287" t="s">
        <v>1205</v>
      </c>
      <c r="D71" s="287" t="s">
        <v>1206</v>
      </c>
      <c r="E71" s="287" t="str">
        <f>GEL!D116</f>
        <v>DDRSS_DDRCTL_PWRCTL</v>
      </c>
      <c r="F71" s="287" t="str">
        <f>GEL!F116</f>
        <v>0x00000000</v>
      </c>
      <c r="G71" s="287" t="str">
        <f t="shared" si="1"/>
        <v>#define DDRCTL_PWRCTL 0x00000000</v>
      </c>
    </row>
    <row r="72" spans="1:8" s="287" customFormat="1" ht="13.5">
      <c r="C72" s="287" t="s">
        <v>1205</v>
      </c>
      <c r="D72" s="287" t="s">
        <v>1206</v>
      </c>
      <c r="E72" s="287" t="str">
        <f>GEL!D117</f>
        <v>DDRSS_DDRCTL_RANKCTL</v>
      </c>
      <c r="F72" s="287" t="str">
        <f>GEL!F117</f>
        <v>0x00000000</v>
      </c>
      <c r="G72" s="287" t="str">
        <f t="shared" si="1"/>
        <v>#define DDRCTL_RANKCTL 0x00000000</v>
      </c>
    </row>
    <row r="73" spans="1:8" ht="13.5">
      <c r="C73" s="287" t="s">
        <v>1205</v>
      </c>
      <c r="D73" s="287" t="s">
        <v>1206</v>
      </c>
      <c r="E73" s="287" t="str">
        <f>GEL!D119</f>
        <v>DDRSS_DDRCTL_ODTCFG</v>
      </c>
      <c r="F73" s="287" t="str">
        <f>GEL!F119</f>
        <v>0x0600060C</v>
      </c>
      <c r="G73" s="287" t="str">
        <f t="shared" si="1"/>
        <v>#define DDRCTL_ODTCFG 0x0600060C</v>
      </c>
    </row>
    <row r="74" spans="1:8" ht="13.5">
      <c r="C74" s="287" t="s">
        <v>1205</v>
      </c>
      <c r="D74" s="287" t="s">
        <v>1206</v>
      </c>
      <c r="E74" s="287" t="str">
        <f>GEL!D120</f>
        <v>DDRSS_DDRCTL_ODTMAP</v>
      </c>
      <c r="F74" s="287" t="str">
        <f>GEL!F120</f>
        <v>0x00000001</v>
      </c>
      <c r="G74" s="287" t="str">
        <f t="shared" si="1"/>
        <v>#define DDRCTL_ODTMAP 0x00000001</v>
      </c>
    </row>
    <row r="75" spans="1:8" ht="13.5">
      <c r="C75" s="287" t="s">
        <v>1205</v>
      </c>
      <c r="D75" s="287" t="s">
        <v>1206</v>
      </c>
      <c r="E75" s="287" t="str">
        <f>GEL!D142</f>
        <v>DDRSS_DDRPHY_PGCR0</v>
      </c>
      <c r="F75" s="287" t="str">
        <f>GEL!F142</f>
        <v>0x07001E00</v>
      </c>
      <c r="G75" s="287" t="str">
        <f t="shared" si="1"/>
        <v>#define DDRPHY_PGCR0 0x07001E00</v>
      </c>
    </row>
    <row r="76" spans="1:8" s="287" customFormat="1" ht="13.5">
      <c r="C76" s="287" t="s">
        <v>1205</v>
      </c>
      <c r="D76" s="287" t="s">
        <v>1206</v>
      </c>
      <c r="E76" s="287" t="str">
        <f>GEL!D143</f>
        <v>DDRSS_DDRPHY_PGCR1</v>
      </c>
      <c r="F76" s="287" t="str">
        <f>GEL!F143</f>
        <v>0x020046C0</v>
      </c>
      <c r="G76" s="287" t="str">
        <f t="shared" si="1"/>
        <v>#define DDRPHY_PGCR1 0x020046C0</v>
      </c>
    </row>
    <row r="77" spans="1:8" s="287" customFormat="1" ht="13.5">
      <c r="C77" s="287" t="s">
        <v>1205</v>
      </c>
      <c r="D77" s="287" t="s">
        <v>1206</v>
      </c>
      <c r="E77" s="287" t="str">
        <f>GEL!D144</f>
        <v>DDRSS_DDRPHY_PGCR2</v>
      </c>
      <c r="F77" s="287" t="str">
        <f>GEL!F144</f>
        <v>0x00F09F60</v>
      </c>
      <c r="G77" s="287" t="str">
        <f t="shared" si="1"/>
        <v>#define DDRPHY_PGCR2 0x00F09F60</v>
      </c>
    </row>
    <row r="78" spans="1:8" s="287" customFormat="1" ht="13.5">
      <c r="C78" s="287" t="s">
        <v>1205</v>
      </c>
      <c r="D78" s="287" t="s">
        <v>1206</v>
      </c>
      <c r="E78" s="287" t="str">
        <f>GEL!D145</f>
        <v>DDRSS_DDRPHY_PGCR3</v>
      </c>
      <c r="F78" s="287" t="str">
        <f>GEL!F145</f>
        <v>0x55AA0080</v>
      </c>
      <c r="G78" s="287" t="str">
        <f t="shared" si="1"/>
        <v>#define DDRPHY_PGCR3 0x55AA0080</v>
      </c>
    </row>
    <row r="79" spans="1:8" s="287" customFormat="1" ht="13.5">
      <c r="C79" s="287" t="s">
        <v>1205</v>
      </c>
      <c r="D79" s="287" t="s">
        <v>1206</v>
      </c>
      <c r="E79" s="287" t="str">
        <f>GEL!D146</f>
        <v>DDRSS_DDRPHY_PGCR6</v>
      </c>
      <c r="F79" s="287" t="str">
        <f>GEL!F146</f>
        <v>0x00013001</v>
      </c>
      <c r="G79" s="287" t="str">
        <f t="shared" si="1"/>
        <v>#define DDRPHY_PGCR6 0x00013001</v>
      </c>
    </row>
    <row r="80" spans="1:8" s="287" customFormat="1" ht="13.5">
      <c r="C80" s="287" t="s">
        <v>1205</v>
      </c>
      <c r="D80" s="287" t="s">
        <v>1206</v>
      </c>
      <c r="E80" s="287" t="str">
        <f>GEL!D148</f>
        <v>DDRSS_DDRPHY_PTR2</v>
      </c>
      <c r="F80" s="287" t="str">
        <f>GEL!F148</f>
        <v>0x00083DEF</v>
      </c>
      <c r="G80" s="287" t="str">
        <f t="shared" si="1"/>
        <v>#define DDRPHY_PTR2 0x00083DEF</v>
      </c>
    </row>
    <row r="81" spans="3:9" s="287" customFormat="1" ht="13.5">
      <c r="C81" s="287" t="s">
        <v>1205</v>
      </c>
      <c r="D81" s="287" t="s">
        <v>1206</v>
      </c>
      <c r="E81" s="287" t="str">
        <f>GEL!D149</f>
        <v>DDRSS_DDRPHY_PTR3</v>
      </c>
      <c r="F81" s="287" t="str">
        <f>GEL!F149</f>
        <v>0x00051616</v>
      </c>
      <c r="G81" s="287" t="str">
        <f t="shared" si="1"/>
        <v>#define DDRPHY_PTR3 0x00051616</v>
      </c>
    </row>
    <row r="82" spans="3:9" s="287" customFormat="1" ht="13.5">
      <c r="C82" s="287" t="s">
        <v>1205</v>
      </c>
      <c r="D82" s="287" t="s">
        <v>1206</v>
      </c>
      <c r="E82" s="287" t="str">
        <f>GEL!D150</f>
        <v>DDRSS_DDRPHY_PTR4</v>
      </c>
      <c r="F82" s="287" t="str">
        <f>GEL!F150</f>
        <v>0x000000F0</v>
      </c>
      <c r="G82" s="287" t="str">
        <f t="shared" si="1"/>
        <v>#define DDRPHY_PTR4 0x000000F0</v>
      </c>
    </row>
    <row r="83" spans="3:9" s="287" customFormat="1" ht="13.5">
      <c r="C83" s="287" t="s">
        <v>1205</v>
      </c>
      <c r="D83" s="287" t="s">
        <v>1206</v>
      </c>
      <c r="E83" s="287" t="str">
        <f>GEL!D151</f>
        <v>DDRSS_DDRPHY_PTR5</v>
      </c>
      <c r="F83" s="287" t="str">
        <f>GEL!F151</f>
        <v>0x000208D6</v>
      </c>
      <c r="G83" s="287" t="str">
        <f t="shared" ref="G83:G148" si="2">CONCATENATE(C83,D83," ",MID(E83,7,LEN(E83)-6)," ",F83)</f>
        <v>#define DDRPHY_PTR5 0x000208D6</v>
      </c>
    </row>
    <row r="84" spans="3:9" s="287" customFormat="1" ht="13.5">
      <c r="C84" s="287" t="s">
        <v>1205</v>
      </c>
      <c r="D84" s="287" t="s">
        <v>1206</v>
      </c>
      <c r="E84" s="287" t="str">
        <f>GEL!D152</f>
        <v>DDRSS_DDRPHY_PTR6</v>
      </c>
      <c r="F84" s="287" t="str">
        <f>GEL!F152</f>
        <v>0x0400029B</v>
      </c>
      <c r="G84" s="287" t="str">
        <f t="shared" si="2"/>
        <v>#define DDRPHY_PTR6 0x0400029B</v>
      </c>
    </row>
    <row r="85" spans="3:9" s="287" customFormat="1" ht="13.5">
      <c r="C85" s="287" t="s">
        <v>1205</v>
      </c>
      <c r="D85" s="287" t="s">
        <v>1206</v>
      </c>
      <c r="E85" s="287" t="str">
        <f>GEL!D154</f>
        <v>DDRSS_DDRPHY_PLLCR0</v>
      </c>
      <c r="F85" s="287" t="str">
        <f>GEL!F154</f>
        <v>0x021c4000</v>
      </c>
      <c r="G85" s="287" t="str">
        <f t="shared" si="2"/>
        <v>#define DDRPHY_PLLCR0 0x021c4000</v>
      </c>
    </row>
    <row r="86" spans="3:9" s="287" customFormat="1" ht="13.5">
      <c r="C86" s="287" t="s">
        <v>1205</v>
      </c>
      <c r="D86" s="287" t="s">
        <v>1206</v>
      </c>
      <c r="E86" s="287" t="str">
        <f>GEL!D156</f>
        <v>DDRSS_DDRPHY_DXCCR</v>
      </c>
      <c r="F86" s="287" t="str">
        <f>GEL!F156</f>
        <v>0x00000038</v>
      </c>
      <c r="G86" s="287" t="str">
        <f t="shared" si="2"/>
        <v>#define DDRPHY_DXCCR 0x00000038</v>
      </c>
    </row>
    <row r="87" spans="3:9" s="287" customFormat="1" ht="13.5">
      <c r="C87" s="287" t="s">
        <v>1205</v>
      </c>
      <c r="D87" s="287" t="s">
        <v>1206</v>
      </c>
      <c r="E87" s="287" t="str">
        <f>GEL!D157</f>
        <v>DDRSS_DDRPHY_DSGCR</v>
      </c>
      <c r="F87" s="287" t="str">
        <f>GEL!F157</f>
        <v>0x02A0C129</v>
      </c>
      <c r="G87" s="287" t="str">
        <f t="shared" si="2"/>
        <v>#define DDRPHY_DSGCR 0x02A0C129</v>
      </c>
    </row>
    <row r="88" spans="3:9" s="287" customFormat="1" ht="13.5">
      <c r="C88" s="287" t="s">
        <v>1205</v>
      </c>
      <c r="D88" s="287" t="s">
        <v>1206</v>
      </c>
      <c r="E88" s="287" t="str">
        <f>GEL!D159</f>
        <v>DDRSS_DDRPHY_DCR</v>
      </c>
      <c r="F88" s="287" t="str">
        <f>GEL!F159</f>
        <v>0x4000040C</v>
      </c>
      <c r="G88" s="287" t="str">
        <f t="shared" si="2"/>
        <v>#define DDRPHY_DCR 0x4000040C</v>
      </c>
    </row>
    <row r="89" spans="3:9" s="287" customFormat="1" ht="13.5">
      <c r="C89" s="287" t="s">
        <v>1205</v>
      </c>
      <c r="D89" s="287" t="s">
        <v>1206</v>
      </c>
      <c r="E89" s="287" t="str">
        <f>GEL!D161</f>
        <v>DDRSS_DDRPHY_DTPR0</v>
      </c>
      <c r="F89" s="287" t="str">
        <f>GEL!F161</f>
        <v>0x04160905</v>
      </c>
      <c r="G89" s="287" t="str">
        <f t="shared" si="2"/>
        <v>#define DDRPHY_DTPR0 0x04160905</v>
      </c>
    </row>
    <row r="90" spans="3:9" s="287" customFormat="1" ht="13.5">
      <c r="C90" s="287" t="s">
        <v>1205</v>
      </c>
      <c r="D90" s="287" t="s">
        <v>1206</v>
      </c>
      <c r="E90" s="287" t="str">
        <f>GEL!D162</f>
        <v>DDRSS_DDRPHY_DTPR1</v>
      </c>
      <c r="F90" s="287" t="str">
        <f>GEL!F162</f>
        <v>0x28140000</v>
      </c>
      <c r="G90" s="287" t="str">
        <f t="shared" si="2"/>
        <v>#define DDRPHY_DTPR1 0x28140000</v>
      </c>
    </row>
    <row r="91" spans="3:9" s="287" customFormat="1" ht="13.5">
      <c r="C91" s="287" t="s">
        <v>1205</v>
      </c>
      <c r="D91" s="287" t="s">
        <v>1206</v>
      </c>
      <c r="E91" s="287" t="str">
        <f>GEL!D163</f>
        <v>DDRSS_DDRPHY_DTPR2</v>
      </c>
      <c r="F91" s="287" t="str">
        <f>GEL!F163</f>
        <v>0x0034E300</v>
      </c>
      <c r="G91" s="287" t="str">
        <f t="shared" si="2"/>
        <v>#define DDRPHY_DTPR2 0x0034E300</v>
      </c>
      <c r="I91" s="287" t="s">
        <v>445</v>
      </c>
    </row>
    <row r="92" spans="3:9" s="287" customFormat="1" ht="13.5">
      <c r="C92" s="287" t="s">
        <v>1205</v>
      </c>
      <c r="D92" s="287" t="s">
        <v>1206</v>
      </c>
      <c r="E92" s="287" t="str">
        <f>GEL!D164</f>
        <v>DDRSS_DDRPHY_DTPR3</v>
      </c>
      <c r="F92" s="287" t="str">
        <f>GEL!F164</f>
        <v>0x02800800</v>
      </c>
      <c r="G92" s="287" t="str">
        <f t="shared" si="2"/>
        <v>#define DDRPHY_DTPR3 0x02800800</v>
      </c>
    </row>
    <row r="93" spans="3:9" s="287" customFormat="1" ht="13.5">
      <c r="C93" s="287" t="s">
        <v>1205</v>
      </c>
      <c r="D93" s="287" t="s">
        <v>1206</v>
      </c>
      <c r="E93" s="287" t="str">
        <f>GEL!D165</f>
        <v>DDRSS_DDRPHY_DTPR4</v>
      </c>
      <c r="F93" s="287" t="str">
        <f>GEL!F165</f>
        <v>0x30EA0704</v>
      </c>
      <c r="G93" s="287" t="str">
        <f t="shared" si="2"/>
        <v>#define DDRPHY_DTPR4 0x30EA0704</v>
      </c>
      <c r="I93" s="287" t="s">
        <v>337</v>
      </c>
    </row>
    <row r="94" spans="3:9" s="287" customFormat="1" ht="13.5">
      <c r="C94" s="287" t="s">
        <v>1205</v>
      </c>
      <c r="D94" s="287" t="s">
        <v>1206</v>
      </c>
      <c r="E94" s="287" t="str">
        <f>GEL!D166</f>
        <v>DDRSS_DDRPHY_DTPR5</v>
      </c>
      <c r="F94" s="287" t="str">
        <f>GEL!F166</f>
        <v>0x001F0905</v>
      </c>
      <c r="G94" s="287" t="str">
        <f t="shared" si="2"/>
        <v>#define DDRPHY_DTPR5 0x001F0905</v>
      </c>
      <c r="I94" s="287" t="s">
        <v>446</v>
      </c>
    </row>
    <row r="95" spans="3:9" s="287" customFormat="1" ht="13.5">
      <c r="C95" s="287" t="s">
        <v>1205</v>
      </c>
      <c r="D95" s="287" t="s">
        <v>1206</v>
      </c>
      <c r="E95" s="287" t="str">
        <f>GEL!D167</f>
        <v>DDRSS_DDRPHY_DTPR6</v>
      </c>
      <c r="F95" s="287" t="str">
        <f>GEL!F167</f>
        <v>0x00000505</v>
      </c>
      <c r="G95" s="287" t="str">
        <f t="shared" si="2"/>
        <v>#define DDRPHY_DTPR6 0x00000505</v>
      </c>
    </row>
    <row r="96" spans="3:9" s="287" customFormat="1" ht="13.5">
      <c r="C96" s="287" t="s">
        <v>1205</v>
      </c>
      <c r="D96" s="287" t="s">
        <v>1206</v>
      </c>
      <c r="E96" s="287" t="str">
        <f>GEL!D169</f>
        <v>DDRSS_DDRPHY_ZQCR</v>
      </c>
      <c r="F96" s="287" t="str">
        <f>GEL!F169</f>
        <v>0x0089EA58</v>
      </c>
      <c r="G96" s="287" t="str">
        <f t="shared" si="2"/>
        <v>#define DDRPHY_ZQCR 0x0089EA58</v>
      </c>
    </row>
    <row r="97" spans="3:7" s="287" customFormat="1" ht="13.5">
      <c r="C97" s="287" t="s">
        <v>1205</v>
      </c>
      <c r="D97" s="287" t="s">
        <v>1206</v>
      </c>
      <c r="E97" s="287" t="str">
        <f>GEL!D173</f>
        <v>DDRSS_DDRPHY_ZQ0PR0</v>
      </c>
      <c r="F97" s="287" t="str">
        <f>GEL!F173</f>
        <v>0x000077DD</v>
      </c>
      <c r="G97" s="287" t="str">
        <f t="shared" si="2"/>
        <v>#define DDRPHY_ZQ0PR0 0x000077DD</v>
      </c>
    </row>
    <row r="98" spans="3:7" s="287" customFormat="1" ht="13.5">
      <c r="C98" s="287" t="s">
        <v>1205</v>
      </c>
      <c r="D98" s="287" t="s">
        <v>1206</v>
      </c>
      <c r="E98" s="287" t="str">
        <f>GEL!D175</f>
        <v>DDRSS_DDRPHY_ZQ1PR0</v>
      </c>
      <c r="F98" s="287" t="str">
        <f>GEL!F175</f>
        <v>0x00007799</v>
      </c>
      <c r="G98" s="287" t="str">
        <f t="shared" si="2"/>
        <v>#define DDRPHY_ZQ1PR0 0x00007799</v>
      </c>
    </row>
    <row r="99" spans="3:7" s="287" customFormat="1" ht="13.5">
      <c r="C99" s="287" t="s">
        <v>1205</v>
      </c>
      <c r="D99" s="287" t="s">
        <v>1206</v>
      </c>
      <c r="E99" s="287" t="str">
        <f>GEL!D182</f>
        <v>DDRSS_DDRPHY_MR0</v>
      </c>
      <c r="F99" s="287" t="str">
        <f>GEL!F182</f>
        <v>0x00000014</v>
      </c>
      <c r="G99" s="287" t="str">
        <f t="shared" si="2"/>
        <v>#define DDRPHY_MR0 0x00000014</v>
      </c>
    </row>
    <row r="100" spans="3:7" s="287" customFormat="1" ht="13.5">
      <c r="C100" s="287" t="s">
        <v>1205</v>
      </c>
      <c r="D100" s="287" t="s">
        <v>1206</v>
      </c>
      <c r="E100" s="287" t="str">
        <f>GEL!D183</f>
        <v>DDRSS_DDRPHY_MR1</v>
      </c>
      <c r="F100" s="287" t="str">
        <f>GEL!F183</f>
        <v>0x00000501</v>
      </c>
      <c r="G100" s="287" t="str">
        <f t="shared" si="2"/>
        <v>#define DDRPHY_MR1 0x00000501</v>
      </c>
    </row>
    <row r="101" spans="3:7" s="287" customFormat="1" ht="13.5">
      <c r="C101" s="287" t="s">
        <v>1205</v>
      </c>
      <c r="D101" s="287" t="s">
        <v>1206</v>
      </c>
      <c r="E101" s="287" t="str">
        <f>GEL!D184</f>
        <v>DDRSS_DDRPHY_MR2</v>
      </c>
      <c r="F101" s="287" t="str">
        <f>GEL!F184</f>
        <v>0x00000000</v>
      </c>
      <c r="G101" s="287" t="str">
        <f t="shared" si="2"/>
        <v>#define DDRPHY_MR2 0x00000000</v>
      </c>
    </row>
    <row r="102" spans="3:7" s="287" customFormat="1" ht="13.5">
      <c r="C102" s="287" t="s">
        <v>1205</v>
      </c>
      <c r="D102" s="287" t="s">
        <v>1206</v>
      </c>
      <c r="E102" s="287" t="str">
        <f>GEL!D185</f>
        <v>DDRSS_DDRPHY_MR3</v>
      </c>
      <c r="F102" s="287" t="str">
        <f>GEL!F185</f>
        <v>0x00000020</v>
      </c>
      <c r="G102" s="287" t="str">
        <f t="shared" si="2"/>
        <v>#define DDRPHY_MR3 0x00000020</v>
      </c>
    </row>
    <row r="103" spans="3:7" s="287" customFormat="1" ht="13.5">
      <c r="C103" s="287" t="s">
        <v>1205</v>
      </c>
      <c r="D103" s="287" t="s">
        <v>1206</v>
      </c>
      <c r="E103" s="287" t="str">
        <f>GEL!D186</f>
        <v>DDRSS_DDRPHY_MR4</v>
      </c>
      <c r="F103" s="287" t="str">
        <f>GEL!F186</f>
        <v>0x00000000</v>
      </c>
      <c r="G103" s="287" t="str">
        <f t="shared" si="2"/>
        <v>#define DDRPHY_MR4 0x00000000</v>
      </c>
    </row>
    <row r="104" spans="3:7" s="287" customFormat="1" ht="13.5">
      <c r="C104" s="287" t="s">
        <v>1205</v>
      </c>
      <c r="D104" s="287" t="s">
        <v>1206</v>
      </c>
      <c r="E104" s="287" t="str">
        <f>GEL!D187</f>
        <v>DDRSS_DDRPHY_MR5</v>
      </c>
      <c r="F104" s="287" t="str">
        <f>GEL!F187</f>
        <v>0x00000480</v>
      </c>
      <c r="G104" s="287" t="str">
        <f t="shared" si="2"/>
        <v>#define DDRPHY_MR5 0x00000480</v>
      </c>
    </row>
    <row r="105" spans="3:7" s="287" customFormat="1" ht="13.5">
      <c r="C105" s="287" t="s">
        <v>1205</v>
      </c>
      <c r="D105" s="287" t="s">
        <v>1206</v>
      </c>
      <c r="E105" s="287" t="str">
        <f>GEL!D188</f>
        <v>DDRSS_DDRPHY_MR6</v>
      </c>
      <c r="F105" s="287" t="str">
        <f>GEL!F188</f>
        <v>0x00000097</v>
      </c>
      <c r="G105" s="287" t="str">
        <f t="shared" si="2"/>
        <v>#define DDRPHY_MR6 0x00000097</v>
      </c>
    </row>
    <row r="106" spans="3:7" s="287" customFormat="1" ht="13.5">
      <c r="C106" s="287" t="s">
        <v>1205</v>
      </c>
      <c r="D106" s="287" t="s">
        <v>1206</v>
      </c>
      <c r="E106" s="287" t="str">
        <f>GEL!D189</f>
        <v>DDRSS_DDRPHY_MR11</v>
      </c>
      <c r="F106" s="287" t="str">
        <f>GEL!F189</f>
        <v>0x00000000</v>
      </c>
      <c r="G106" s="287" t="str">
        <f t="shared" si="2"/>
        <v>#define DDRPHY_MR11 0x00000000</v>
      </c>
    </row>
    <row r="107" spans="3:7" s="287" customFormat="1" ht="13.5">
      <c r="C107" s="287" t="s">
        <v>1205</v>
      </c>
      <c r="D107" s="287" t="s">
        <v>1206</v>
      </c>
      <c r="E107" s="287" t="str">
        <f>GEL!D190</f>
        <v>DDRSS_DDRPHY_MR12</v>
      </c>
      <c r="F107" s="287" t="str">
        <f>GEL!F190</f>
        <v>0x00000000</v>
      </c>
      <c r="G107" s="287" t="str">
        <f t="shared" si="2"/>
        <v>#define DDRPHY_MR12 0x00000000</v>
      </c>
    </row>
    <row r="108" spans="3:7" s="287" customFormat="1" ht="13.5">
      <c r="C108" s="287" t="s">
        <v>1205</v>
      </c>
      <c r="D108" s="287" t="s">
        <v>1206</v>
      </c>
      <c r="E108" s="287" t="str">
        <f>GEL!D191</f>
        <v>DDRSS_DDRPHY_MR13</v>
      </c>
      <c r="F108" s="287" t="str">
        <f>GEL!F191</f>
        <v>0x00000000</v>
      </c>
      <c r="G108" s="287" t="str">
        <f t="shared" si="2"/>
        <v>#define DDRPHY_MR13 0x00000000</v>
      </c>
    </row>
    <row r="109" spans="3:7" s="287" customFormat="1" ht="13.5">
      <c r="C109" s="287" t="s">
        <v>1205</v>
      </c>
      <c r="D109" s="287" t="s">
        <v>1206</v>
      </c>
      <c r="E109" s="287" t="str">
        <f>GEL!D192</f>
        <v>DDRSS_DDRPHY_MR14</v>
      </c>
      <c r="F109" s="287" t="str">
        <f>GEL!F192</f>
        <v>0x00000000</v>
      </c>
      <c r="G109" s="287" t="str">
        <f t="shared" si="2"/>
        <v>#define DDRPHY_MR14 0x00000000</v>
      </c>
    </row>
    <row r="110" spans="3:7" s="287" customFormat="1" ht="13.5">
      <c r="C110" s="287" t="s">
        <v>1205</v>
      </c>
      <c r="D110" s="287" t="s">
        <v>1206</v>
      </c>
      <c r="E110" s="287" t="str">
        <f>GEL!D193</f>
        <v>DDRSS_DDRPHY_MR22</v>
      </c>
      <c r="F110" s="287" t="str">
        <f>GEL!F193</f>
        <v>0x00000000</v>
      </c>
      <c r="G110" s="287" t="str">
        <f t="shared" si="2"/>
        <v>#define DDRPHY_MR22 0x00000000</v>
      </c>
    </row>
    <row r="111" spans="3:7" ht="13.5">
      <c r="C111" s="287" t="s">
        <v>1205</v>
      </c>
      <c r="D111" s="287" t="s">
        <v>1206</v>
      </c>
      <c r="E111" s="287" t="str">
        <f>GEL!D195</f>
        <v>DDRSS_DDRPHY_VTCR0</v>
      </c>
      <c r="F111" s="287" t="str">
        <f>GEL!F195</f>
        <v>0xF3C32017</v>
      </c>
      <c r="G111" s="287" t="str">
        <f t="shared" si="2"/>
        <v>#define DDRPHY_VTCR0 0xF3C32017</v>
      </c>
    </row>
    <row r="112" spans="3:7" ht="13.5">
      <c r="C112" s="287" t="s">
        <v>1205</v>
      </c>
      <c r="D112" s="287" t="s">
        <v>1206</v>
      </c>
      <c r="E112" s="287" t="str">
        <f>GEL!D197</f>
        <v>DDRSS_DDRPHY_DX8SL0PLLCR0</v>
      </c>
      <c r="F112" s="287" t="str">
        <f>GEL!F197</f>
        <v>0x021c4000</v>
      </c>
      <c r="G112" s="287" t="str">
        <f t="shared" si="2"/>
        <v>#define DDRPHY_DX8SL0PLLCR0 0x021c4000</v>
      </c>
    </row>
    <row r="113" spans="3:7" s="287" customFormat="1" ht="13.5">
      <c r="C113" s="287" t="s">
        <v>1205</v>
      </c>
      <c r="D113" s="287" t="s">
        <v>1206</v>
      </c>
      <c r="E113" s="287" t="str">
        <f>GEL!D198</f>
        <v>DDRSS_DDRPHY_DX8SL1PLLCR0</v>
      </c>
      <c r="F113" s="287" t="str">
        <f>GEL!F198</f>
        <v>0x021c4000</v>
      </c>
      <c r="G113" s="287" t="str">
        <f t="shared" si="2"/>
        <v>#define DDRPHY_DX8SL1PLLCR0 0x021c4000</v>
      </c>
    </row>
    <row r="114" spans="3:7" s="287" customFormat="1" ht="13.5">
      <c r="C114" s="287" t="s">
        <v>1205</v>
      </c>
      <c r="D114" s="287" t="s">
        <v>1206</v>
      </c>
      <c r="E114" s="287" t="str">
        <f>GEL!D199</f>
        <v>DDRSS_DDRPHY_DX8SL2PLLCR0</v>
      </c>
      <c r="F114" s="287" t="str">
        <f>GEL!F199</f>
        <v>0x021c4000</v>
      </c>
      <c r="G114" s="287" t="str">
        <f t="shared" si="2"/>
        <v>#define DDRPHY_DX8SL2PLLCR0 0x021c4000</v>
      </c>
    </row>
    <row r="115" spans="3:7" s="287" customFormat="1" ht="13.5">
      <c r="C115" s="287" t="s">
        <v>1205</v>
      </c>
      <c r="D115" s="287" t="s">
        <v>1206</v>
      </c>
      <c r="E115" s="287" t="str">
        <f>GEL!D201</f>
        <v>DDRSS_DDRPHY_DTCR0</v>
      </c>
      <c r="F115" s="287" t="str">
        <f>GEL!F201</f>
        <v>0x8000B1C7</v>
      </c>
      <c r="G115" s="287" t="str">
        <f t="shared" si="2"/>
        <v>#define DDRPHY_DTCR0 0x8000B1C7</v>
      </c>
    </row>
    <row r="116" spans="3:7" s="287" customFormat="1" ht="13.5">
      <c r="C116" s="287" t="s">
        <v>1205</v>
      </c>
      <c r="D116" s="287" t="s">
        <v>1206</v>
      </c>
      <c r="E116" s="287" t="str">
        <f>GEL!D202</f>
        <v>DDRSS_DDRPHY_DTCR1</v>
      </c>
      <c r="F116" s="287" t="str">
        <f>GEL!F202</f>
        <v>0x00010236</v>
      </c>
      <c r="G116" s="287" t="str">
        <f t="shared" si="2"/>
        <v>#define DDRPHY_DTCR1 0x00010236</v>
      </c>
    </row>
    <row r="117" spans="3:7" s="287" customFormat="1" ht="13.5">
      <c r="C117" s="287" t="s">
        <v>1205</v>
      </c>
      <c r="D117" s="287" t="s">
        <v>1206</v>
      </c>
      <c r="E117" s="287" t="str">
        <f>GEL!D204</f>
        <v>DDRSS_DDRPHY_ACIOCR0</v>
      </c>
      <c r="F117" s="287" t="str">
        <f>GEL!F204</f>
        <v>0xF0070000</v>
      </c>
      <c r="G117" s="287" t="str">
        <f t="shared" si="2"/>
        <v>#define DDRPHY_ACIOCR0 0xF0070000</v>
      </c>
    </row>
    <row r="118" spans="3:7" s="287" customFormat="1" ht="13.5">
      <c r="C118" s="287" t="s">
        <v>1205</v>
      </c>
      <c r="D118" s="287" t="s">
        <v>1206</v>
      </c>
      <c r="E118" s="287" t="str">
        <f>GEL!D205</f>
        <v>DDRSS_DDRPHY_ACIOCR3</v>
      </c>
      <c r="F118" s="287" t="str">
        <f>GEL!F205</f>
        <v>0x20000001</v>
      </c>
      <c r="G118" s="287" t="str">
        <f t="shared" ref="G118" si="3">CONCATENATE(C118,D118," ",MID(E118,7,LEN(E118)-6)," ",F118)</f>
        <v>#define DDRPHY_ACIOCR3 0x20000001</v>
      </c>
    </row>
    <row r="119" spans="3:7" s="287" customFormat="1" ht="13.5">
      <c r="C119" s="287" t="s">
        <v>1205</v>
      </c>
      <c r="D119" s="287" t="s">
        <v>1206</v>
      </c>
      <c r="E119" s="287" t="str">
        <f>GEL!D206</f>
        <v>DDRSS_DDRPHY_ACIOCR5</v>
      </c>
      <c r="F119" s="287" t="str">
        <f>GEL!F206</f>
        <v>0x04800000</v>
      </c>
      <c r="G119" s="287" t="str">
        <f t="shared" si="2"/>
        <v>#define DDRPHY_ACIOCR5 0x04800000</v>
      </c>
    </row>
    <row r="120" spans="3:7" s="287" customFormat="1" ht="13.5">
      <c r="C120" s="287" t="s">
        <v>1205</v>
      </c>
      <c r="D120" s="287" t="s">
        <v>1206</v>
      </c>
      <c r="E120" s="287" t="str">
        <f>GEL!D208</f>
        <v>DDRSS_DDRPHY_IOVCR0</v>
      </c>
      <c r="F120" s="287" t="str">
        <f>GEL!F208</f>
        <v>0x0F0C0C0C</v>
      </c>
      <c r="G120" s="287" t="str">
        <f t="shared" si="2"/>
        <v>#define DDRPHY_IOVCR0 0x0F0C0C0C</v>
      </c>
    </row>
    <row r="121" spans="3:7" s="287" customFormat="1" ht="13.5">
      <c r="C121" s="287" t="s">
        <v>1205</v>
      </c>
      <c r="D121" s="287" t="s">
        <v>1206</v>
      </c>
      <c r="E121" s="287" t="str">
        <f>GEL!D212</f>
        <v>DDRSS_DDRPHY_DX0GCR0</v>
      </c>
      <c r="F121" s="287" t="str">
        <f>GEL!F212</f>
        <v>0x00000000</v>
      </c>
      <c r="G121" s="287" t="str">
        <f t="shared" si="2"/>
        <v>#define DDRPHY_DX0GCR0 0x00000000</v>
      </c>
    </row>
    <row r="122" spans="3:7" s="287" customFormat="1" ht="13.5">
      <c r="C122" s="287" t="s">
        <v>1205</v>
      </c>
      <c r="D122" s="287" t="s">
        <v>1206</v>
      </c>
      <c r="E122" s="287" t="str">
        <f>GEL!D213</f>
        <v>DDRSS_DDRPHY_DX0GCR1</v>
      </c>
      <c r="F122" s="287" t="str">
        <f>GEL!F213</f>
        <v>0x00000000</v>
      </c>
      <c r="G122" s="287" t="str">
        <f t="shared" si="2"/>
        <v>#define DDRPHY_DX0GCR1 0x00000000</v>
      </c>
    </row>
    <row r="123" spans="3:7" s="287" customFormat="1" ht="13.5">
      <c r="C123" s="287" t="s">
        <v>1205</v>
      </c>
      <c r="D123" s="287" t="s">
        <v>1206</v>
      </c>
      <c r="E123" s="287" t="str">
        <f>GEL!D214</f>
        <v>DDRSS_DDRPHY_DX0GCR2</v>
      </c>
      <c r="F123" s="287" t="str">
        <f>GEL!F214</f>
        <v>0x00000000</v>
      </c>
      <c r="G123" s="287" t="str">
        <f t="shared" si="2"/>
        <v>#define DDRPHY_DX0GCR2 0x00000000</v>
      </c>
    </row>
    <row r="124" spans="3:7" s="287" customFormat="1" ht="13.5">
      <c r="C124" s="287" t="s">
        <v>1205</v>
      </c>
      <c r="D124" s="287" t="s">
        <v>1206</v>
      </c>
      <c r="E124" s="287" t="str">
        <f>GEL!D215</f>
        <v xml:space="preserve">DDRSS_DDRPHY_DX0GCR3 </v>
      </c>
      <c r="F124" s="287" t="str">
        <f>GEL!F215</f>
        <v>0x00000000</v>
      </c>
      <c r="G124" s="287" t="str">
        <f t="shared" si="2"/>
        <v>#define DDRPHY_DX0GCR3  0x00000000</v>
      </c>
    </row>
    <row r="125" spans="3:7" s="287" customFormat="1" ht="13.5">
      <c r="C125" s="287" t="s">
        <v>1205</v>
      </c>
      <c r="D125" s="287" t="s">
        <v>1206</v>
      </c>
      <c r="E125" s="287" t="str">
        <f>GEL!D216</f>
        <v>DDRSS_DDRPHY_DX1GCR0</v>
      </c>
      <c r="F125" s="287" t="str">
        <f>GEL!F216</f>
        <v>0x00000000</v>
      </c>
      <c r="G125" s="287" t="str">
        <f t="shared" si="2"/>
        <v>#define DDRPHY_DX1GCR0 0x00000000</v>
      </c>
    </row>
    <row r="126" spans="3:7" s="287" customFormat="1" ht="13.5">
      <c r="C126" s="287" t="s">
        <v>1205</v>
      </c>
      <c r="D126" s="287" t="s">
        <v>1206</v>
      </c>
      <c r="E126" s="287" t="str">
        <f>GEL!D217</f>
        <v>DDRSS_DDRPHY_DX1GCR1</v>
      </c>
      <c r="F126" s="287" t="str">
        <f>GEL!F217</f>
        <v>0x00000000</v>
      </c>
      <c r="G126" s="287" t="str">
        <f t="shared" si="2"/>
        <v>#define DDRPHY_DX1GCR1 0x00000000</v>
      </c>
    </row>
    <row r="127" spans="3:7" s="287" customFormat="1" ht="13.5">
      <c r="C127" s="287" t="s">
        <v>1205</v>
      </c>
      <c r="D127" s="287" t="s">
        <v>1206</v>
      </c>
      <c r="E127" s="287" t="str">
        <f>GEL!D218</f>
        <v>DDRSS_DDRPHY_DX1GCR2</v>
      </c>
      <c r="F127" s="287" t="str">
        <f>GEL!F218</f>
        <v>0x00000000</v>
      </c>
      <c r="G127" s="287" t="str">
        <f t="shared" si="2"/>
        <v>#define DDRPHY_DX1GCR2 0x00000000</v>
      </c>
    </row>
    <row r="128" spans="3:7" s="287" customFormat="1" ht="13.5">
      <c r="C128" s="287" t="s">
        <v>1205</v>
      </c>
      <c r="D128" s="287" t="s">
        <v>1206</v>
      </c>
      <c r="E128" s="287" t="str">
        <f>GEL!D219</f>
        <v>DDRSS_DDRPHY_DX1GCR3</v>
      </c>
      <c r="F128" s="287" t="str">
        <f>GEL!F219</f>
        <v>0x00000000</v>
      </c>
      <c r="G128" s="287" t="str">
        <f t="shared" si="2"/>
        <v>#define DDRPHY_DX1GCR3 0x00000000</v>
      </c>
    </row>
    <row r="129" spans="1:7" s="287" customFormat="1" ht="13.5">
      <c r="C129" s="287" t="s">
        <v>1205</v>
      </c>
      <c r="D129" s="287" t="s">
        <v>1206</v>
      </c>
      <c r="E129" s="287" t="str">
        <f>GEL!D220</f>
        <v>DDRSS_DDRPHY_DX2GCR0</v>
      </c>
      <c r="F129" s="287" t="str">
        <f>GEL!F220</f>
        <v>0x40700204</v>
      </c>
      <c r="G129" s="287" t="str">
        <f t="shared" si="2"/>
        <v>#define DDRPHY_DX2GCR0 0x40700204</v>
      </c>
    </row>
    <row r="130" spans="1:7" s="287" customFormat="1" ht="13.5">
      <c r="A130" s="287" t="s">
        <v>336</v>
      </c>
      <c r="C130" s="287" t="s">
        <v>1205</v>
      </c>
      <c r="D130" s="287" t="s">
        <v>1206</v>
      </c>
      <c r="E130" s="287" t="str">
        <f>GEL!D221</f>
        <v>DDRSS_DDRPHY_DX2GCR1</v>
      </c>
      <c r="F130" s="287" t="str">
        <f>GEL!F221</f>
        <v>0x00007FFF</v>
      </c>
      <c r="G130" s="287" t="str">
        <f t="shared" si="2"/>
        <v>#define DDRPHY_DX2GCR1 0x00007FFF</v>
      </c>
    </row>
    <row r="131" spans="1:7" s="287" customFormat="1" ht="13.5">
      <c r="A131" s="287" t="s">
        <v>336</v>
      </c>
      <c r="C131" s="287" t="s">
        <v>1205</v>
      </c>
      <c r="D131" s="287" t="s">
        <v>1206</v>
      </c>
      <c r="E131" s="287" t="str">
        <f>GEL!D222</f>
        <v>DDRSS_DDRPHY_DX2GCR2</v>
      </c>
      <c r="F131" s="287" t="str">
        <f>GEL!F222</f>
        <v>0x00000000</v>
      </c>
      <c r="G131" s="287" t="str">
        <f t="shared" si="2"/>
        <v>#define DDRPHY_DX2GCR2 0x00000000</v>
      </c>
    </row>
    <row r="132" spans="1:7" s="287" customFormat="1" ht="13.5">
      <c r="C132" s="287" t="s">
        <v>1205</v>
      </c>
      <c r="D132" s="287" t="s">
        <v>1206</v>
      </c>
      <c r="E132" s="287" t="str">
        <f>GEL!D223</f>
        <v xml:space="preserve">DDRSS_DDRPHY_DX2GCR3 </v>
      </c>
      <c r="F132" s="287" t="str">
        <f>GEL!F223</f>
        <v>0xFFC0010B</v>
      </c>
      <c r="G132" s="287" t="str">
        <f t="shared" si="2"/>
        <v>#define DDRPHY_DX2GCR3  0xFFC0010B</v>
      </c>
    </row>
    <row r="133" spans="1:7" s="287" customFormat="1" ht="13.5">
      <c r="C133" s="287" t="s">
        <v>1205</v>
      </c>
      <c r="D133" s="287" t="s">
        <v>1206</v>
      </c>
      <c r="E133" s="287" t="str">
        <f>GEL!D224</f>
        <v>DDRSS_DDRPHY_DX3GCR0</v>
      </c>
      <c r="F133" s="287" t="str">
        <f>GEL!F224</f>
        <v>0x40700204</v>
      </c>
      <c r="G133" s="287" t="str">
        <f t="shared" si="2"/>
        <v>#define DDRPHY_DX3GCR0 0x40700204</v>
      </c>
    </row>
    <row r="134" spans="1:7" s="287" customFormat="1" ht="13.5">
      <c r="C134" s="287" t="s">
        <v>1205</v>
      </c>
      <c r="D134" s="287" t="s">
        <v>1206</v>
      </c>
      <c r="E134" s="287" t="str">
        <f>GEL!D225</f>
        <v>DDRSS_DDRPHY_DX3GCR1</v>
      </c>
      <c r="F134" s="287" t="str">
        <f>GEL!F225</f>
        <v>0x00007FFF</v>
      </c>
      <c r="G134" s="287" t="str">
        <f t="shared" si="2"/>
        <v>#define DDRPHY_DX3GCR1 0x00007FFF</v>
      </c>
    </row>
    <row r="135" spans="1:7" s="287" customFormat="1" ht="13.5">
      <c r="C135" s="287" t="s">
        <v>1205</v>
      </c>
      <c r="D135" s="287" t="s">
        <v>1206</v>
      </c>
      <c r="E135" s="287" t="str">
        <f>GEL!D226</f>
        <v>DDRSS_DDRPHY_DX3GCR2</v>
      </c>
      <c r="F135" s="287" t="str">
        <f>GEL!F226</f>
        <v>0x00000000</v>
      </c>
      <c r="G135" s="287" t="str">
        <f t="shared" si="2"/>
        <v>#define DDRPHY_DX3GCR2 0x00000000</v>
      </c>
    </row>
    <row r="136" spans="1:7" s="287" customFormat="1" ht="13.5">
      <c r="C136" s="287" t="s">
        <v>1205</v>
      </c>
      <c r="D136" s="287" t="s">
        <v>1206</v>
      </c>
      <c r="E136" s="287" t="str">
        <f>GEL!D227</f>
        <v xml:space="preserve">DDRSS_DDRPHY_DX3GCR3 </v>
      </c>
      <c r="F136" s="287" t="str">
        <f>GEL!F227</f>
        <v>0xFFC0010B</v>
      </c>
      <c r="G136" s="287" t="str">
        <f t="shared" si="2"/>
        <v>#define DDRPHY_DX3GCR3  0xFFC0010B</v>
      </c>
    </row>
    <row r="137" spans="1:7" s="287" customFormat="1" ht="13.5">
      <c r="C137" s="287" t="s">
        <v>1205</v>
      </c>
      <c r="D137" s="287" t="s">
        <v>1206</v>
      </c>
      <c r="E137" s="287" t="str">
        <f>GEL!D228</f>
        <v>DDRSS_DDRPHY_DX4GCR0</v>
      </c>
      <c r="F137" s="287" t="str">
        <f>GEL!F228</f>
        <v>0x40703220</v>
      </c>
      <c r="G137" s="287" t="str">
        <f t="shared" si="2"/>
        <v>#define DDRPHY_DX4GCR0 0x40703220</v>
      </c>
    </row>
    <row r="138" spans="1:7" s="287" customFormat="1" ht="13.5">
      <c r="C138" s="287" t="s">
        <v>1205</v>
      </c>
      <c r="D138" s="287" t="s">
        <v>1206</v>
      </c>
      <c r="E138" s="287" t="str">
        <f>GEL!D229</f>
        <v>DDRSS_DDRPHY_DX4GCR1</v>
      </c>
      <c r="F138" s="287" t="str">
        <f>GEL!F229</f>
        <v>0x55556000</v>
      </c>
      <c r="G138" s="287" t="str">
        <f t="shared" si="2"/>
        <v>#define DDRPHY_DX4GCR1 0x55556000</v>
      </c>
    </row>
    <row r="139" spans="1:7" s="287" customFormat="1" ht="13.5">
      <c r="C139" s="287" t="s">
        <v>1205</v>
      </c>
      <c r="D139" s="287" t="s">
        <v>1206</v>
      </c>
      <c r="E139" s="287" t="str">
        <f>GEL!D230</f>
        <v>DDRSS_DDRPHY_DX4GCR2</v>
      </c>
      <c r="F139" s="287" t="str">
        <f>GEL!F230</f>
        <v>0xAAAA0000</v>
      </c>
      <c r="G139" s="287" t="str">
        <f t="shared" si="2"/>
        <v>#define DDRPHY_DX4GCR2 0xAAAA0000</v>
      </c>
    </row>
    <row r="140" spans="1:7" s="287" customFormat="1" ht="13.5">
      <c r="C140" s="287" t="s">
        <v>1205</v>
      </c>
      <c r="D140" s="287" t="s">
        <v>1206</v>
      </c>
      <c r="E140" s="287" t="str">
        <f>GEL!D231</f>
        <v xml:space="preserve">DDRSS_DDRPHY_DX4GCR3 </v>
      </c>
      <c r="F140" s="287" t="str">
        <f>GEL!F231</f>
        <v>0xFFE18587</v>
      </c>
      <c r="G140" s="287" t="str">
        <f t="shared" si="2"/>
        <v>#define DDRPHY_DX4GCR3  0xFFE18587</v>
      </c>
    </row>
    <row r="141" spans="1:7" s="287" customFormat="1" ht="13.5">
      <c r="C141" s="287" t="s">
        <v>1205</v>
      </c>
      <c r="D141" s="287" t="s">
        <v>1206</v>
      </c>
      <c r="E141" s="287" t="str">
        <f>GEL!D235</f>
        <v>DDRSS_DDRPHY_DX0GCR4</v>
      </c>
      <c r="F141" s="287" t="str">
        <f>GEL!F235</f>
        <v>0x0E00B03C</v>
      </c>
      <c r="G141" s="287" t="str">
        <f t="shared" si="2"/>
        <v>#define DDRPHY_DX0GCR4 0x0E00B03C</v>
      </c>
    </row>
    <row r="142" spans="1:7" s="287" customFormat="1" ht="13.5">
      <c r="C142" s="287" t="s">
        <v>1205</v>
      </c>
      <c r="D142" s="287" t="s">
        <v>1206</v>
      </c>
      <c r="E142" s="287" t="str">
        <f>GEL!D236</f>
        <v>DDRSS_DDRPHY_DX1GCR4</v>
      </c>
      <c r="F142" s="287" t="str">
        <f>GEL!F236</f>
        <v>0x0E00B03C</v>
      </c>
      <c r="G142" s="287" t="str">
        <f t="shared" si="2"/>
        <v>#define DDRPHY_DX1GCR4 0x0E00B03C</v>
      </c>
    </row>
    <row r="143" spans="1:7" s="287" customFormat="1" ht="13.5">
      <c r="C143" s="287" t="s">
        <v>1205</v>
      </c>
      <c r="D143" s="287" t="s">
        <v>1206</v>
      </c>
      <c r="E143" s="287" t="str">
        <f>GEL!D237</f>
        <v>DDRSS_DDRPHY_DX2GCR4</v>
      </c>
      <c r="F143" s="287" t="str">
        <f>GEL!F237</f>
        <v>0x0E00B03C</v>
      </c>
      <c r="G143" s="287" t="str">
        <f t="shared" si="2"/>
        <v>#define DDRPHY_DX2GCR4 0x0E00B03C</v>
      </c>
    </row>
    <row r="144" spans="1:7" s="287" customFormat="1" ht="13.5">
      <c r="C144" s="287" t="s">
        <v>1205</v>
      </c>
      <c r="D144" s="287" t="s">
        <v>1206</v>
      </c>
      <c r="E144" s="287" t="str">
        <f>GEL!D238</f>
        <v>DDRSS_DDRPHY_DX3GCR4</v>
      </c>
      <c r="F144" s="287" t="str">
        <f>GEL!F238</f>
        <v>0x0E00B03C</v>
      </c>
      <c r="G144" s="287" t="str">
        <f t="shared" si="2"/>
        <v>#define DDRPHY_DX3GCR4 0x0E00B03C</v>
      </c>
    </row>
    <row r="145" spans="3:7" s="287" customFormat="1" ht="13.5">
      <c r="C145" s="287" t="s">
        <v>1205</v>
      </c>
      <c r="D145" s="287" t="s">
        <v>1206</v>
      </c>
      <c r="E145" s="287" t="str">
        <f>GEL!D239</f>
        <v>DDRSS_DDRPHY_DX4GCR4</v>
      </c>
      <c r="F145" s="287" t="str">
        <f>GEL!F239</f>
        <v>0x0E00B03C</v>
      </c>
      <c r="G145" s="287" t="str">
        <f t="shared" si="2"/>
        <v>#define DDRPHY_DX4GCR4 0x0E00B03C</v>
      </c>
    </row>
    <row r="146" spans="3:7" s="287" customFormat="1" ht="13.5">
      <c r="C146" s="287" t="s">
        <v>1205</v>
      </c>
      <c r="D146" s="287" t="s">
        <v>1206</v>
      </c>
      <c r="E146" s="287" t="str">
        <f>GEL!D242</f>
        <v>DDRSS_DDRPHY_PGCR5</v>
      </c>
      <c r="F146" s="287" t="str">
        <f>GEL!F242</f>
        <v>0x01010004</v>
      </c>
      <c r="G146" s="287" t="str">
        <f t="shared" si="2"/>
        <v>#define DDRPHY_PGCR5 0x01010004</v>
      </c>
    </row>
    <row r="147" spans="3:7" s="287" customFormat="1" ht="13.5">
      <c r="C147" s="287" t="s">
        <v>1205</v>
      </c>
      <c r="D147" s="287" t="s">
        <v>1206</v>
      </c>
      <c r="E147" s="287" t="str">
        <f>GEL!D243</f>
        <v>DDRSS_DDRPHY_DX0GCR5</v>
      </c>
      <c r="F147" s="287" t="str">
        <f>GEL!F243</f>
        <v>0x00000049</v>
      </c>
      <c r="G147" s="287" t="str">
        <f t="shared" si="2"/>
        <v>#define DDRPHY_DX0GCR5 0x00000049</v>
      </c>
    </row>
    <row r="148" spans="3:7" s="287" customFormat="1" ht="13.5">
      <c r="C148" s="287" t="s">
        <v>1205</v>
      </c>
      <c r="D148" s="287" t="s">
        <v>1206</v>
      </c>
      <c r="E148" s="287" t="str">
        <f>GEL!D244</f>
        <v>DDRSS_DDRPHY_DX1GCR5</v>
      </c>
      <c r="F148" s="287" t="str">
        <f>GEL!F244</f>
        <v>0x00000049</v>
      </c>
      <c r="G148" s="287" t="str">
        <f t="shared" si="2"/>
        <v>#define DDRPHY_DX1GCR5 0x00000049</v>
      </c>
    </row>
    <row r="149" spans="3:7" s="287" customFormat="1" ht="13.5">
      <c r="C149" s="287" t="s">
        <v>1205</v>
      </c>
      <c r="D149" s="287" t="s">
        <v>1206</v>
      </c>
      <c r="E149" s="287" t="str">
        <f>GEL!D245</f>
        <v>DDRSS_DDRPHY_DX2GCR5</v>
      </c>
      <c r="F149" s="287" t="str">
        <f>GEL!F245</f>
        <v>0x00000049</v>
      </c>
      <c r="G149" s="287" t="str">
        <f t="shared" ref="G149:G163" si="4">CONCATENATE(C149,D149," ",MID(E149,7,LEN(E149)-6)," ",F149)</f>
        <v>#define DDRPHY_DX2GCR5 0x00000049</v>
      </c>
    </row>
    <row r="150" spans="3:7" s="287" customFormat="1" ht="13.5">
      <c r="C150" s="287" t="s">
        <v>1205</v>
      </c>
      <c r="D150" s="287" t="s">
        <v>1206</v>
      </c>
      <c r="E150" s="287" t="str">
        <f>GEL!D246</f>
        <v>DDRSS_DDRPHY_DX3GCR5</v>
      </c>
      <c r="F150" s="287" t="str">
        <f>GEL!F246</f>
        <v>0x00000049</v>
      </c>
      <c r="G150" s="287" t="str">
        <f t="shared" si="4"/>
        <v>#define DDRPHY_DX3GCR5 0x00000049</v>
      </c>
    </row>
    <row r="151" spans="3:7" s="287" customFormat="1" ht="13.5">
      <c r="C151" s="287" t="s">
        <v>1205</v>
      </c>
      <c r="D151" s="287" t="s">
        <v>1206</v>
      </c>
      <c r="E151" s="287" t="str">
        <f>GEL!D247</f>
        <v>DDRSS_DDRPHY_DX4GCR5</v>
      </c>
      <c r="F151" s="287" t="str">
        <f>GEL!F247</f>
        <v>0x00000049</v>
      </c>
      <c r="G151" s="287" t="str">
        <f t="shared" si="4"/>
        <v>#define DDRPHY_DX4GCR5 0x00000049</v>
      </c>
    </row>
    <row r="152" spans="3:7" s="287" customFormat="1" ht="13.5">
      <c r="C152" s="287" t="s">
        <v>1205</v>
      </c>
      <c r="D152" s="287" t="s">
        <v>1206</v>
      </c>
      <c r="E152" s="287" t="str">
        <f>GEL!D250</f>
        <v>DDRSS_DDRPHY_DX0GTR0</v>
      </c>
      <c r="F152" s="287" t="str">
        <f>GEL!F250</f>
        <v>0x00020002</v>
      </c>
      <c r="G152" s="287" t="str">
        <f t="shared" si="4"/>
        <v>#define DDRPHY_DX0GTR0 0x00020002</v>
      </c>
    </row>
    <row r="153" spans="3:7" s="287" customFormat="1" ht="13.5">
      <c r="C153" s="287" t="s">
        <v>1205</v>
      </c>
      <c r="D153" s="287" t="s">
        <v>1206</v>
      </c>
      <c r="E153" s="287" t="str">
        <f>GEL!D251</f>
        <v>DDRSS_DDRPHY_DX1GTR0</v>
      </c>
      <c r="F153" s="287" t="str">
        <f>GEL!F251</f>
        <v>0x00020002</v>
      </c>
      <c r="G153" s="287" t="str">
        <f t="shared" si="4"/>
        <v>#define DDRPHY_DX1GTR0 0x00020002</v>
      </c>
    </row>
    <row r="154" spans="3:7" s="287" customFormat="1" ht="13.5">
      <c r="C154" s="287" t="s">
        <v>1205</v>
      </c>
      <c r="D154" s="287" t="s">
        <v>1206</v>
      </c>
      <c r="E154" s="287" t="str">
        <f>GEL!D252</f>
        <v>DDRSS_DDRPHY_DX2GTR0</v>
      </c>
      <c r="F154" s="287" t="str">
        <f>GEL!F252</f>
        <v>0x00020002</v>
      </c>
      <c r="G154" s="287" t="str">
        <f t="shared" si="4"/>
        <v>#define DDRPHY_DX2GTR0 0x00020002</v>
      </c>
    </row>
    <row r="155" spans="3:7" s="287" customFormat="1" ht="13.5">
      <c r="C155" s="287" t="s">
        <v>1205</v>
      </c>
      <c r="D155" s="287" t="s">
        <v>1206</v>
      </c>
      <c r="E155" s="287" t="str">
        <f>GEL!D253</f>
        <v>DDRSS_DDRPHY_DX3GTR0</v>
      </c>
      <c r="F155" s="287" t="str">
        <f>GEL!F253</f>
        <v>0x00020002</v>
      </c>
      <c r="G155" s="287" t="str">
        <f t="shared" si="4"/>
        <v>#define DDRPHY_DX3GTR0 0x00020002</v>
      </c>
    </row>
    <row r="156" spans="3:7" s="287" customFormat="1" ht="13.5">
      <c r="C156" s="287" t="s">
        <v>1205</v>
      </c>
      <c r="D156" s="287" t="s">
        <v>1206</v>
      </c>
      <c r="E156" s="287" t="str">
        <f>GEL!D254</f>
        <v>DDRSS_DDRPHY_DX4GTR0</v>
      </c>
      <c r="F156" s="287" t="str">
        <f>GEL!F254</f>
        <v>0x00020002</v>
      </c>
      <c r="G156" s="287" t="str">
        <f t="shared" si="4"/>
        <v>#define DDRPHY_DX4GTR0 0x00020002</v>
      </c>
    </row>
    <row r="157" spans="3:7" s="287" customFormat="1" ht="13.5">
      <c r="C157" s="287" t="s">
        <v>1205</v>
      </c>
      <c r="D157" s="287" t="s">
        <v>1206</v>
      </c>
      <c r="E157" s="287" t="str">
        <f>GEL!D255</f>
        <v>DDRSS_DDRPHY_ODTCR</v>
      </c>
      <c r="F157" s="287" t="str">
        <f>GEL!F255</f>
        <v>0x00010000</v>
      </c>
      <c r="G157" s="287" t="str">
        <f t="shared" si="4"/>
        <v>#define DDRPHY_ODTCR 0x00010000</v>
      </c>
    </row>
    <row r="158" spans="3:7" s="287" customFormat="1" ht="13.5">
      <c r="C158" s="287" t="s">
        <v>1205</v>
      </c>
      <c r="D158" s="287" t="s">
        <v>1206</v>
      </c>
      <c r="E158" s="287" t="str">
        <f>GEL!D265</f>
        <v>DDRSS_DDRPHY_DX8SL0IOCR</v>
      </c>
      <c r="F158" s="287" t="str">
        <f>GEL!F265</f>
        <v>0x74800000</v>
      </c>
      <c r="G158" s="287" t="str">
        <f t="shared" si="4"/>
        <v>#define DDRPHY_DX8SL0IOCR 0x74800000</v>
      </c>
    </row>
    <row r="159" spans="3:7" s="287" customFormat="1" ht="13.5">
      <c r="C159" s="287" t="s">
        <v>1205</v>
      </c>
      <c r="D159" s="287" t="s">
        <v>1206</v>
      </c>
      <c r="E159" s="287" t="str">
        <f>GEL!D266</f>
        <v>DDRSS_DDRPHY_DX8SL1IOCR</v>
      </c>
      <c r="F159" s="287" t="str">
        <f>GEL!F266</f>
        <v>0x74800000</v>
      </c>
      <c r="G159" s="287" t="str">
        <f t="shared" si="4"/>
        <v>#define DDRPHY_DX8SL1IOCR 0x74800000</v>
      </c>
    </row>
    <row r="160" spans="3:7" s="287" customFormat="1" ht="13.5">
      <c r="C160" s="287" t="s">
        <v>1205</v>
      </c>
      <c r="D160" s="287" t="s">
        <v>1206</v>
      </c>
      <c r="E160" s="287" t="str">
        <f>GEL!D267</f>
        <v>DDRSS_DDRPHY_DX8SL2IOCR</v>
      </c>
      <c r="F160" s="287" t="str">
        <f>GEL!F267</f>
        <v>0x74800000</v>
      </c>
      <c r="G160" s="287" t="str">
        <f t="shared" si="4"/>
        <v>#define DDRPHY_DX8SL2IOCR 0x74800000</v>
      </c>
    </row>
    <row r="161" spans="3:7" s="287" customFormat="1" ht="13.5">
      <c r="C161" s="287" t="s">
        <v>1205</v>
      </c>
      <c r="D161" s="287" t="s">
        <v>1206</v>
      </c>
      <c r="E161" s="287" t="str">
        <f>GEL!D270</f>
        <v>DDRSS_DDRPHY_DX8SL0DXCTL2</v>
      </c>
      <c r="F161" s="287" t="str">
        <f>GEL!F270</f>
        <v>0x00141830</v>
      </c>
      <c r="G161" s="287" t="str">
        <f t="shared" si="4"/>
        <v>#define DDRPHY_DX8SL0DXCTL2 0x00141830</v>
      </c>
    </row>
    <row r="162" spans="3:7" s="287" customFormat="1" ht="13.5">
      <c r="C162" s="287" t="s">
        <v>1205</v>
      </c>
      <c r="D162" s="287" t="s">
        <v>1206</v>
      </c>
      <c r="E162" s="287" t="str">
        <f>GEL!D271</f>
        <v>DDRSS_DDRPHY_DX8SL1DXCTL2</v>
      </c>
      <c r="F162" s="287" t="str">
        <f>GEL!F271</f>
        <v>0x00141830</v>
      </c>
      <c r="G162" s="287" t="str">
        <f t="shared" si="4"/>
        <v>#define DDRPHY_DX8SL1DXCTL2 0x00141830</v>
      </c>
    </row>
    <row r="163" spans="3:7" s="287" customFormat="1" ht="13.5">
      <c r="C163" s="287" t="s">
        <v>1205</v>
      </c>
      <c r="D163" s="287" t="s">
        <v>1206</v>
      </c>
      <c r="E163" s="287" t="str">
        <f>GEL!D272</f>
        <v>DDRSS_DDRPHY_DX8SL2DXCTL2</v>
      </c>
      <c r="F163" s="287" t="str">
        <f>GEL!F272</f>
        <v>0x00141830</v>
      </c>
      <c r="G163" s="287" t="str">
        <f t="shared" si="4"/>
        <v>#define DDRPHY_DX8SL2DXCTL2 0x00141830</v>
      </c>
    </row>
    <row r="164" spans="3:7" s="287" customFormat="1" ht="13.5">
      <c r="C164" s="287" t="s">
        <v>1205</v>
      </c>
      <c r="D164" s="287" t="s">
        <v>1206</v>
      </c>
      <c r="E164" s="287" t="str">
        <f>GEL!D274</f>
        <v>DDRSS_DDRPHY_DX8SL0DQSCTL</v>
      </c>
      <c r="F164" s="287" t="str">
        <f>GEL!F274</f>
        <v>0x01264300</v>
      </c>
      <c r="G164" s="287" t="str">
        <f t="shared" ref="G164:G166" si="5">CONCATENATE(C164,D164," ",MID(E164,7,LEN(E164)-6)," ",F164)</f>
        <v>#define DDRPHY_DX8SL0DQSCTL 0x01264300</v>
      </c>
    </row>
    <row r="165" spans="3:7" s="287" customFormat="1" ht="13.5">
      <c r="C165" s="287" t="s">
        <v>1205</v>
      </c>
      <c r="D165" s="287" t="s">
        <v>1206</v>
      </c>
      <c r="E165" s="287" t="str">
        <f>GEL!D275</f>
        <v>DDRSS_DDRPHY_DX8SL1DQSCTL</v>
      </c>
      <c r="F165" s="287" t="str">
        <f>GEL!F275</f>
        <v>0x01264300</v>
      </c>
      <c r="G165" s="287" t="str">
        <f t="shared" si="5"/>
        <v>#define DDRPHY_DX8SL1DQSCTL 0x01264300</v>
      </c>
    </row>
    <row r="166" spans="3:7" s="287" customFormat="1" ht="13.5">
      <c r="C166" s="287" t="s">
        <v>1205</v>
      </c>
      <c r="D166" s="287" t="s">
        <v>1206</v>
      </c>
      <c r="E166" s="287" t="str">
        <f>GEL!D276</f>
        <v>DDRSS_DDRPHY_DX8SL2DQSCTL</v>
      </c>
      <c r="F166" s="287" t="str">
        <f>GEL!F276</f>
        <v>0x01264300</v>
      </c>
      <c r="G166" s="287" t="str">
        <f t="shared" si="5"/>
        <v>#define DDRPHY_DX8SL2DQSCTL 0x01264300</v>
      </c>
    </row>
    <row r="167" spans="3:7" s="287" customFormat="1" ht="13.5"/>
    <row r="168" spans="3:7" s="287" customFormat="1" ht="13.5"/>
    <row r="169" spans="3:7" s="287" customFormat="1" ht="13.5"/>
    <row r="170" spans="3:7" s="287" customFormat="1" ht="13.5"/>
    <row r="227" spans="24:25">
      <c r="Y227" s="132" t="s">
        <v>336</v>
      </c>
    </row>
    <row r="233" spans="24:25">
      <c r="Y233" s="132" t="s">
        <v>336</v>
      </c>
    </row>
    <row r="237" spans="24:25">
      <c r="Y237" s="132" t="s">
        <v>336</v>
      </c>
    </row>
    <row r="240" spans="24:25">
      <c r="X240" s="132" t="s">
        <v>337</v>
      </c>
    </row>
  </sheetData>
  <sheetProtection password="8E0D" sheet="1" objects="1" scenarios="1"/>
  <phoneticPr fontId="59"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Pict="0" macro="[0]!ExportRangetoFile_uboot">
                <anchor moveWithCells="1" sizeWithCells="1">
                  <from>
                    <xdr:col>3</xdr:col>
                    <xdr:colOff>419100</xdr:colOff>
                    <xdr:row>2</xdr:row>
                    <xdr:rowOff>19050</xdr:rowOff>
                  </from>
                  <to>
                    <xdr:col>4</xdr:col>
                    <xdr:colOff>1619250</xdr:colOff>
                    <xdr:row>3</xdr:row>
                    <xdr:rowOff>85725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tabColor rgb="FF92D050"/>
  </sheetPr>
  <dimension ref="A2:Y269"/>
  <sheetViews>
    <sheetView zoomScaleNormal="100" workbookViewId="0">
      <selection activeCell="I17" sqref="I17"/>
    </sheetView>
  </sheetViews>
  <sheetFormatPr defaultColWidth="9.140625" defaultRowHeight="12.75"/>
  <cols>
    <col min="1" max="1" width="9.28515625" style="132" customWidth="1"/>
    <col min="2" max="2" width="2.28515625" style="132" customWidth="1"/>
    <col min="3" max="3" width="3.140625" style="132" customWidth="1"/>
    <col min="4" max="4" width="21.28515625" style="132" customWidth="1"/>
    <col min="5" max="5" width="32.7109375" style="132" customWidth="1"/>
    <col min="6" max="6" width="40.5703125" style="132" customWidth="1"/>
    <col min="7" max="7" width="51.28515625" style="132" hidden="1" customWidth="1"/>
    <col min="8" max="8" width="10" style="132" customWidth="1"/>
    <col min="9" max="23" width="14.85546875" style="132" customWidth="1"/>
    <col min="24" max="16384" width="9.140625" style="132"/>
  </cols>
  <sheetData>
    <row r="2" spans="3:7">
      <c r="D2" s="345" t="s">
        <v>2418</v>
      </c>
      <c r="E2" s="346"/>
    </row>
    <row r="3" spans="3:7">
      <c r="D3" s="346"/>
      <c r="E3" s="346"/>
    </row>
    <row r="4" spans="3:7" ht="13.5">
      <c r="C4" s="352"/>
      <c r="D4" s="346"/>
      <c r="E4" s="346"/>
    </row>
    <row r="5" spans="3:7" ht="13.5">
      <c r="C5" s="352"/>
      <c r="D5" s="410"/>
      <c r="E5" s="410"/>
    </row>
    <row r="6" spans="3:7" ht="13.5">
      <c r="C6" s="411" t="s">
        <v>1379</v>
      </c>
      <c r="D6" s="410"/>
      <c r="G6" s="287" t="str">
        <f t="shared" ref="G6:G36" si="0">CONCATENATE(C6,D6,E6)</f>
        <v>/*</v>
      </c>
    </row>
    <row r="7" spans="3:7" ht="13.5">
      <c r="C7" s="411" t="s">
        <v>2451</v>
      </c>
      <c r="D7" s="410"/>
      <c r="G7" s="287" t="str">
        <f t="shared" si="0"/>
        <v xml:space="preserve"> * Copyright (c) 2020, Texas Instruments Incorporated</v>
      </c>
    </row>
    <row r="8" spans="3:7" ht="13.5">
      <c r="C8" s="411" t="s">
        <v>2387</v>
      </c>
      <c r="D8" s="410"/>
      <c r="G8" s="287" t="str">
        <f t="shared" si="0"/>
        <v xml:space="preserve"> * All rights reserved.</v>
      </c>
    </row>
    <row r="9" spans="3:7" ht="13.5">
      <c r="C9" s="411" t="s">
        <v>2388</v>
      </c>
      <c r="D9" s="410"/>
      <c r="G9" s="287" t="str">
        <f t="shared" si="0"/>
        <v xml:space="preserve"> *</v>
      </c>
    </row>
    <row r="10" spans="3:7" ht="13.5">
      <c r="C10" s="411" t="s">
        <v>2389</v>
      </c>
      <c r="D10" s="410"/>
      <c r="G10" s="287" t="str">
        <f t="shared" si="0"/>
        <v xml:space="preserve"> * Redistribution and use in source and binary forms, with or without</v>
      </c>
    </row>
    <row r="11" spans="3:7" ht="13.5">
      <c r="C11" s="411" t="s">
        <v>2390</v>
      </c>
      <c r="D11" s="410"/>
      <c r="G11" s="287" t="str">
        <f t="shared" si="0"/>
        <v xml:space="preserve"> * modification, are permitted provided that the following conditions</v>
      </c>
    </row>
    <row r="12" spans="3:7" ht="13.5">
      <c r="C12" s="411" t="s">
        <v>2391</v>
      </c>
      <c r="D12" s="410"/>
      <c r="G12" s="287" t="str">
        <f t="shared" si="0"/>
        <v xml:space="preserve"> * are met:</v>
      </c>
    </row>
    <row r="13" spans="3:7" ht="13.5">
      <c r="C13" s="411" t="s">
        <v>2388</v>
      </c>
      <c r="D13" s="410"/>
      <c r="G13" s="287" t="str">
        <f t="shared" si="0"/>
        <v xml:space="preserve"> *</v>
      </c>
    </row>
    <row r="14" spans="3:7" ht="13.5">
      <c r="C14" s="411" t="s">
        <v>2392</v>
      </c>
      <c r="D14" s="410"/>
      <c r="G14" s="287" t="str">
        <f t="shared" si="0"/>
        <v xml:space="preserve"> * *  Redistributions of source code must retain the above copyright</v>
      </c>
    </row>
    <row r="15" spans="3:7" ht="13.5">
      <c r="C15" s="411" t="s">
        <v>2393</v>
      </c>
      <c r="D15" s="410"/>
      <c r="G15" s="287" t="str">
        <f t="shared" si="0"/>
        <v xml:space="preserve"> *    notice, this list of conditions and the following disclaimer.</v>
      </c>
    </row>
    <row r="16" spans="3:7" ht="13.5">
      <c r="C16" s="411" t="s">
        <v>2388</v>
      </c>
      <c r="D16" s="410"/>
      <c r="G16" s="287" t="str">
        <f t="shared" si="0"/>
        <v xml:space="preserve"> *</v>
      </c>
    </row>
    <row r="17" spans="3:7" ht="13.5">
      <c r="C17" s="411" t="s">
        <v>2394</v>
      </c>
      <c r="D17" s="410"/>
      <c r="G17" s="287" t="str">
        <f t="shared" si="0"/>
        <v xml:space="preserve"> * *  Redistributions in binary form must reproduce the above copyright</v>
      </c>
    </row>
    <row r="18" spans="3:7" ht="13.5">
      <c r="C18" s="411" t="s">
        <v>2395</v>
      </c>
      <c r="D18" s="410"/>
      <c r="G18" s="287" t="str">
        <f t="shared" si="0"/>
        <v xml:space="preserve"> *    notice, this list of conditions and the following disclaimer in the</v>
      </c>
    </row>
    <row r="19" spans="3:7" ht="13.5">
      <c r="C19" s="411" t="s">
        <v>2396</v>
      </c>
      <c r="D19" s="410"/>
      <c r="G19" s="287" t="str">
        <f t="shared" si="0"/>
        <v xml:space="preserve"> *    documentation and/or other materials provided with the distribution.</v>
      </c>
    </row>
    <row r="20" spans="3:7" ht="13.5">
      <c r="C20" s="411" t="s">
        <v>2388</v>
      </c>
      <c r="D20" s="410"/>
      <c r="G20" s="287" t="str">
        <f t="shared" si="0"/>
        <v xml:space="preserve"> *</v>
      </c>
    </row>
    <row r="21" spans="3:7" ht="13.5">
      <c r="C21" s="411" t="s">
        <v>2397</v>
      </c>
      <c r="D21" s="410"/>
      <c r="G21" s="287" t="str">
        <f t="shared" si="0"/>
        <v xml:space="preserve"> * *  Neither the name of Texas Instruments Incorporated nor the names of</v>
      </c>
    </row>
    <row r="22" spans="3:7" ht="13.5">
      <c r="C22" s="411" t="s">
        <v>2398</v>
      </c>
      <c r="D22" s="410"/>
      <c r="G22" s="287" t="str">
        <f t="shared" si="0"/>
        <v xml:space="preserve"> *    its contributors may be used to endorse or promote products derived</v>
      </c>
    </row>
    <row r="23" spans="3:7" ht="13.5">
      <c r="C23" s="411" t="s">
        <v>2399</v>
      </c>
      <c r="D23" s="410"/>
      <c r="G23" s="287" t="str">
        <f t="shared" si="0"/>
        <v xml:space="preserve"> *    from this software without specific prior written permission.</v>
      </c>
    </row>
    <row r="24" spans="3:7" ht="13.5">
      <c r="C24" s="411" t="s">
        <v>2388</v>
      </c>
      <c r="D24" s="410"/>
      <c r="G24" s="287" t="str">
        <f t="shared" si="0"/>
        <v xml:space="preserve"> *</v>
      </c>
    </row>
    <row r="25" spans="3:7" ht="13.5">
      <c r="C25" s="411" t="s">
        <v>2400</v>
      </c>
      <c r="D25" s="410"/>
      <c r="G25" s="287" t="str">
        <f t="shared" si="0"/>
        <v xml:space="preserve"> * THIS SOFTWARE IS PROVIDED BY THE COPYRIGHT HOLDERS AND CONTRIBUTORS "AS IS"</v>
      </c>
    </row>
    <row r="26" spans="3:7" ht="13.5">
      <c r="C26" s="411" t="s">
        <v>2401</v>
      </c>
      <c r="D26" s="410"/>
      <c r="G26" s="287" t="str">
        <f t="shared" si="0"/>
        <v xml:space="preserve"> * AND ANY EXPRESS OR IMPLIED WARRANTIES, INCLUDING, BUT NOT LIMITED TO,</v>
      </c>
    </row>
    <row r="27" spans="3:7" ht="13.5">
      <c r="C27" s="411" t="s">
        <v>2402</v>
      </c>
      <c r="D27" s="410"/>
      <c r="G27" s="287" t="str">
        <f t="shared" si="0"/>
        <v xml:space="preserve"> * THE IMPLIED WARRANTIES OF MERCHANTABILITY AND FITNESS FOR A PARTICULAR</v>
      </c>
    </row>
    <row r="28" spans="3:7" ht="13.5">
      <c r="C28" s="411" t="s">
        <v>2403</v>
      </c>
      <c r="D28" s="410"/>
      <c r="G28" s="287" t="str">
        <f t="shared" si="0"/>
        <v xml:space="preserve"> * PURPOSE ARE DISCLAIMED. IN NO EVENT SHALL THE COPYRIGHT OWNER OR</v>
      </c>
    </row>
    <row r="29" spans="3:7" ht="13.5">
      <c r="C29" s="411" t="s">
        <v>2404</v>
      </c>
      <c r="D29" s="410"/>
      <c r="G29" s="287" t="str">
        <f t="shared" si="0"/>
        <v xml:space="preserve"> * CONTRIBUTORS BE LIABLE FOR ANY DIRECT, INDIRECT, INCIDENTAL, SPECIAL,</v>
      </c>
    </row>
    <row r="30" spans="3:7" ht="13.5">
      <c r="C30" s="411" t="s">
        <v>2405</v>
      </c>
      <c r="D30" s="410"/>
      <c r="G30" s="287" t="str">
        <f t="shared" si="0"/>
        <v xml:space="preserve"> * EXEMPLARY, OR CONSEQUENTIAL DAMAGES (INCLUDING, BUT NOT LIMITED TO,</v>
      </c>
    </row>
    <row r="31" spans="3:7" ht="13.5">
      <c r="C31" s="411" t="s">
        <v>2406</v>
      </c>
      <c r="D31" s="410"/>
      <c r="G31" s="287" t="str">
        <f t="shared" si="0"/>
        <v xml:space="preserve"> * PROCUREMENT OF SUBSTITUTE GOODS OR SERVICES; LOSS OF USE, DATA, OR PROFITS;</v>
      </c>
    </row>
    <row r="32" spans="3:7" ht="13.5">
      <c r="C32" s="411" t="s">
        <v>2407</v>
      </c>
      <c r="D32" s="410"/>
      <c r="G32" s="287" t="str">
        <f t="shared" si="0"/>
        <v xml:space="preserve"> * OR BUSINESS INTERRUPTION) HOWEVER CAUSED AND ON ANY THEORY OF LIABILITY,</v>
      </c>
    </row>
    <row r="33" spans="3:13" ht="13.5">
      <c r="C33" s="411" t="s">
        <v>2408</v>
      </c>
      <c r="D33" s="410"/>
      <c r="G33" s="287" t="str">
        <f t="shared" si="0"/>
        <v xml:space="preserve"> * WHETHER IN CONTRACT, STRICT LIABILITY, OR TORT (INCLUDING NEGLIGENCE OR</v>
      </c>
    </row>
    <row r="34" spans="3:13" ht="13.5">
      <c r="C34" s="411" t="s">
        <v>2409</v>
      </c>
      <c r="D34" s="410"/>
      <c r="G34" s="287" t="str">
        <f t="shared" si="0"/>
        <v xml:space="preserve"> * OTHERWISE) ARISING IN ANY WAY OUT OF THE USE OF THIS SOFTWARE,</v>
      </c>
    </row>
    <row r="35" spans="3:13" ht="13.5">
      <c r="C35" s="411" t="s">
        <v>2410</v>
      </c>
      <c r="D35" s="410"/>
      <c r="G35" s="287" t="str">
        <f t="shared" si="0"/>
        <v xml:space="preserve"> * EVEN IF ADVISED OF THE POSSIBILITY OF SUCH DAMAGE.</v>
      </c>
    </row>
    <row r="36" spans="3:13" ht="13.5">
      <c r="C36" s="411" t="s">
        <v>2388</v>
      </c>
      <c r="D36" s="410"/>
      <c r="G36" s="287" t="str">
        <f t="shared" si="0"/>
        <v xml:space="preserve"> *</v>
      </c>
    </row>
    <row r="37" spans="3:13" s="287" customFormat="1" ht="13.5">
      <c r="C37" s="287" t="s">
        <v>2388</v>
      </c>
      <c r="D37" s="287" t="str">
        <f ca="1">CONCATENATE(" This file was generated by ",MID(CELL("filename"),SEARCH("[",CELL("filename"))+1, SEARCH("]",CELL("filename"))-SEARCH("[",CELL("filename"))-1))</f>
        <v xml:space="preserve"> This file was generated by GHMI Plus_EMIF_Tool_2.02 for 666MHz.xlsm</v>
      </c>
      <c r="G37" s="287" t="str">
        <f t="shared" ref="G37:G44" ca="1" si="1">CONCATENATE(C37,D37,E37)</f>
        <v xml:space="preserve"> * This file was generated by GHMI Plus_EMIF_Tool_2.02 for 666MHz.xlsm</v>
      </c>
    </row>
    <row r="38" spans="3:13" s="287" customFormat="1" ht="13.5">
      <c r="C38" s="287" t="s">
        <v>2388</v>
      </c>
      <c r="D38" s="412" t="s">
        <v>2412</v>
      </c>
      <c r="G38" s="287" t="str">
        <f t="shared" si="1"/>
        <v xml:space="preserve"> * http://www.ti.com/lit/pdf/spracj0</v>
      </c>
    </row>
    <row r="39" spans="3:13" s="287" customFormat="1" ht="13.5">
      <c r="C39" s="287" t="s">
        <v>2388</v>
      </c>
      <c r="D39" s="287" t="s">
        <v>2413</v>
      </c>
      <c r="G39" s="287" t="str">
        <f t="shared" si="1"/>
        <v xml:space="preserve"> * Configuration Parameters</v>
      </c>
    </row>
    <row r="40" spans="3:13" s="287" customFormat="1" ht="13.5">
      <c r="C40" s="287" t="s">
        <v>2388</v>
      </c>
      <c r="D40" s="287" t="s">
        <v>2414</v>
      </c>
      <c r="E40" s="353" t="str">
        <f>Memory_Type</f>
        <v>DDR4</v>
      </c>
      <c r="G40" s="287" t="str">
        <f>CONCATENATE(C40,D40," ",E40)</f>
        <v xml:space="preserve"> * Memory Type: DDR4</v>
      </c>
    </row>
    <row r="41" spans="3:13" s="287" customFormat="1" ht="13.5">
      <c r="C41" s="287" t="s">
        <v>2388</v>
      </c>
      <c r="D41" s="287" t="s">
        <v>2415</v>
      </c>
      <c r="E41" s="353">
        <f>Data_Rate</f>
        <v>1333</v>
      </c>
      <c r="F41" s="287" t="s">
        <v>1</v>
      </c>
      <c r="G41" s="287" t="str">
        <f>CONCATENATE(C41,D41," ",E41," ",F41)</f>
        <v xml:space="preserve"> * Data Rate: 1333 MT/s</v>
      </c>
    </row>
    <row r="42" spans="3:13" s="287" customFormat="1" ht="13.5">
      <c r="C42" s="287" t="s">
        <v>2388</v>
      </c>
      <c r="D42" s="287" t="s">
        <v>2416</v>
      </c>
      <c r="E42" s="353" t="str">
        <f>'Step1-System Details'!E18</f>
        <v>No</v>
      </c>
      <c r="G42" s="287" t="str">
        <f>CONCATENATE(C42,D42," ",E42)</f>
        <v xml:space="preserve"> * ECC Enabled: No</v>
      </c>
    </row>
    <row r="43" spans="3:13" s="287" customFormat="1" ht="13.5">
      <c r="C43" s="287" t="s">
        <v>2388</v>
      </c>
      <c r="D43" s="287" t="s">
        <v>2417</v>
      </c>
      <c r="E43" s="353">
        <f>DDR_Width</f>
        <v>32</v>
      </c>
      <c r="F43" s="287" t="s">
        <v>1385</v>
      </c>
      <c r="G43" s="287" t="str">
        <f>CONCATENATE(C43,D43," ",E43," ",F43)</f>
        <v xml:space="preserve"> * Data Width: 32 bits</v>
      </c>
    </row>
    <row r="44" spans="3:13" s="287" customFormat="1" ht="13.5">
      <c r="C44" s="287" t="s">
        <v>1446</v>
      </c>
      <c r="G44" s="287" t="str">
        <f t="shared" si="1"/>
        <v xml:space="preserve"> */</v>
      </c>
    </row>
    <row r="45" spans="3:13" s="287" customFormat="1" ht="13.5">
      <c r="C45" s="287" t="s">
        <v>1205</v>
      </c>
      <c r="D45" s="287" t="s">
        <v>1206</v>
      </c>
      <c r="E45" s="354" t="s">
        <v>1431</v>
      </c>
      <c r="F45" s="353">
        <f>DDR_Memory_Frequency*1000000/2</f>
        <v>333000000</v>
      </c>
      <c r="G45" s="287" t="str">
        <f>CONCATENATE(C45,D45," ",E45," ",F45)</f>
        <v>#define DDR_PLL_FREQUENCY 333000000</v>
      </c>
    </row>
    <row r="46" spans="3:13" s="287" customFormat="1" ht="13.5">
      <c r="C46" s="287" t="s">
        <v>1205</v>
      </c>
      <c r="D46" s="287" t="s">
        <v>1206</v>
      </c>
      <c r="E46" s="287" t="str">
        <f>GEL!D54</f>
        <v>DDRSS_V2H_CTL_REG</v>
      </c>
      <c r="F46" s="287" t="str">
        <f>GEL!F54</f>
        <v>0x000073FF</v>
      </c>
      <c r="G46" s="287" t="str">
        <f>CONCATENATE(C46,D46," ",E46," ",F46)</f>
        <v>#define DDRSS_V2H_CTL_REG 0x000073FF</v>
      </c>
    </row>
    <row r="47" spans="3:13" s="287" customFormat="1" ht="13.5">
      <c r="C47" s="287" t="s">
        <v>1205</v>
      </c>
      <c r="D47" s="287" t="s">
        <v>1206</v>
      </c>
      <c r="E47" s="287" t="str">
        <f>GEL!D59</f>
        <v>DDRSS_DDRCTL_MSTR</v>
      </c>
      <c r="F47" s="287" t="str">
        <f>GEL!F59</f>
        <v>0x81040010</v>
      </c>
      <c r="G47" s="287" t="str">
        <f>CONCATENATE(C47,D47," ",MID(E47,7,LEN(E47)-6)," ",F47)</f>
        <v>#define DDRCTL_MSTR 0x81040010</v>
      </c>
    </row>
    <row r="48" spans="3:13" s="287" customFormat="1" ht="12.75" customHeight="1">
      <c r="C48" s="287" t="s">
        <v>1205</v>
      </c>
      <c r="D48" s="287" t="s">
        <v>1206</v>
      </c>
      <c r="E48" s="287" t="str">
        <f>GEL!D60</f>
        <v>DDRSS_DDRCTL_RFSHCTL0</v>
      </c>
      <c r="F48" s="287" t="str">
        <f>GEL!F60</f>
        <v>0x00210070</v>
      </c>
      <c r="G48" s="287" t="str">
        <f t="shared" ref="G48:G111" si="2">CONCATENATE(C48,D48," ",MID(E48,7,LEN(E48)-6)," ",F48)</f>
        <v>#define DDRCTL_RFSHCTL0 0x00210070</v>
      </c>
      <c r="H48" s="291"/>
      <c r="J48" s="291"/>
      <c r="K48" s="292"/>
      <c r="L48" s="292"/>
      <c r="M48" s="291"/>
    </row>
    <row r="49" spans="3:7" s="287" customFormat="1" ht="13.5">
      <c r="C49" s="287" t="s">
        <v>1205</v>
      </c>
      <c r="D49" s="287" t="s">
        <v>1206</v>
      </c>
      <c r="E49" s="287" t="str">
        <f>GEL!D62</f>
        <v>DDRSS_DDRCTL_ECCCFG0</v>
      </c>
      <c r="F49" s="287" t="str">
        <f>GEL!F62</f>
        <v>0x00000000</v>
      </c>
      <c r="G49" s="287" t="str">
        <f t="shared" si="2"/>
        <v>#define DDRCTL_ECCCFG0 0x00000000</v>
      </c>
    </row>
    <row r="50" spans="3:7" s="287" customFormat="1" ht="13.5">
      <c r="C50" s="287" t="s">
        <v>1205</v>
      </c>
      <c r="D50" s="287" t="s">
        <v>1206</v>
      </c>
      <c r="E50" s="287" t="str">
        <f>GEL!D64</f>
        <v>DDRSS_DDRCTL_RFSHTMG</v>
      </c>
      <c r="F50" s="287" t="str">
        <f>GEL!F64</f>
        <v>0x00510075</v>
      </c>
      <c r="G50" s="287" t="str">
        <f t="shared" si="2"/>
        <v>#define DDRCTL_RFSHTMG 0x00510075</v>
      </c>
    </row>
    <row r="51" spans="3:7" s="287" customFormat="1" ht="13.5">
      <c r="C51" s="287" t="s">
        <v>1205</v>
      </c>
      <c r="D51" s="287" t="s">
        <v>1206</v>
      </c>
      <c r="E51" s="287" t="str">
        <f>GEL!D65</f>
        <v>DDRSS_DDRCTL_CRCPARCTL0</v>
      </c>
      <c r="F51" s="287" t="str">
        <f>GEL!F65</f>
        <v>0x00008000</v>
      </c>
      <c r="G51" s="287" t="str">
        <f t="shared" si="2"/>
        <v>#define DDRCTL_CRCPARCTL0 0x00008000</v>
      </c>
    </row>
    <row r="52" spans="3:7" s="287" customFormat="1" ht="13.5">
      <c r="C52" s="287" t="s">
        <v>1205</v>
      </c>
      <c r="D52" s="287" t="s">
        <v>1206</v>
      </c>
      <c r="E52" s="287" t="str">
        <f>GEL!D66</f>
        <v>DDRSS_DDRCTL_CRCPARCTL1</v>
      </c>
      <c r="F52" s="287" t="str">
        <f>GEL!F66</f>
        <v>0x1A000000</v>
      </c>
      <c r="G52" s="287" t="str">
        <f t="shared" si="2"/>
        <v>#define DDRCTL_CRCPARCTL1 0x1A000000</v>
      </c>
    </row>
    <row r="53" spans="3:7" s="287" customFormat="1" ht="13.5">
      <c r="C53" s="287" t="s">
        <v>1205</v>
      </c>
      <c r="D53" s="287" t="s">
        <v>1206</v>
      </c>
      <c r="E53" s="287" t="str">
        <f>GEL!D67</f>
        <v>DDRSS_DDRCTL_CRCPARCTL2</v>
      </c>
      <c r="F53" s="287" t="str">
        <f>GEL!F67</f>
        <v>0x0048051E</v>
      </c>
      <c r="G53" s="287" t="str">
        <f t="shared" si="2"/>
        <v>#define DDRCTL_CRCPARCTL2 0x0048051E</v>
      </c>
    </row>
    <row r="54" spans="3:7" s="287" customFormat="1" ht="13.5">
      <c r="C54" s="287" t="s">
        <v>1205</v>
      </c>
      <c r="D54" s="287" t="s">
        <v>1206</v>
      </c>
      <c r="E54" s="287" t="str">
        <f>GEL!D68</f>
        <v>DDRSS_DDRCTL_INIT0</v>
      </c>
      <c r="F54" s="287" t="str">
        <f>GEL!F68</f>
        <v>0x400100A3</v>
      </c>
      <c r="G54" s="287" t="str">
        <f t="shared" si="2"/>
        <v>#define DDRCTL_INIT0 0x400100A3</v>
      </c>
    </row>
    <row r="55" spans="3:7" s="287" customFormat="1" ht="13.5">
      <c r="C55" s="287" t="s">
        <v>1205</v>
      </c>
      <c r="D55" s="287" t="s">
        <v>1206</v>
      </c>
      <c r="E55" s="287" t="str">
        <f>GEL!D69</f>
        <v>DDRSS_DDRCTL_INIT1</v>
      </c>
      <c r="F55" s="287" t="str">
        <f>GEL!F69</f>
        <v>0x00420000</v>
      </c>
      <c r="G55" s="287" t="str">
        <f t="shared" si="2"/>
        <v>#define DDRCTL_INIT1 0x00420000</v>
      </c>
    </row>
    <row r="56" spans="3:7" s="287" customFormat="1" ht="13.5">
      <c r="C56" s="287" t="s">
        <v>1205</v>
      </c>
      <c r="D56" s="287" t="s">
        <v>1206</v>
      </c>
      <c r="E56" s="287" t="str">
        <f>GEL!D70</f>
        <v>DDRSS_DDRCTL_INIT3</v>
      </c>
      <c r="F56" s="287" t="str">
        <f>GEL!F70</f>
        <v>0x00140501</v>
      </c>
      <c r="G56" s="287" t="str">
        <f t="shared" si="2"/>
        <v>#define DDRCTL_INIT3 0x00140501</v>
      </c>
    </row>
    <row r="57" spans="3:7" s="287" customFormat="1" ht="13.5">
      <c r="C57" s="287" t="s">
        <v>1205</v>
      </c>
      <c r="D57" s="287" t="s">
        <v>1206</v>
      </c>
      <c r="E57" s="287" t="str">
        <f>GEL!D71</f>
        <v>DDRSS_DDRCTL_INIT4</v>
      </c>
      <c r="F57" s="287" t="str">
        <f>GEL!F71</f>
        <v>0x00000020</v>
      </c>
      <c r="G57" s="287" t="str">
        <f t="shared" si="2"/>
        <v>#define DDRCTL_INIT4 0x00000020</v>
      </c>
    </row>
    <row r="58" spans="3:7" s="287" customFormat="1" ht="13.5">
      <c r="C58" s="287" t="s">
        <v>1205</v>
      </c>
      <c r="D58" s="287" t="s">
        <v>1206</v>
      </c>
      <c r="E58" s="287" t="str">
        <f>GEL!D72</f>
        <v>DDRSS_DDRCTL_INIT5</v>
      </c>
      <c r="F58" s="287" t="str">
        <f>GEL!F72</f>
        <v>0x00100000</v>
      </c>
      <c r="G58" s="287" t="str">
        <f t="shared" si="2"/>
        <v>#define DDRCTL_INIT5 0x00100000</v>
      </c>
    </row>
    <row r="59" spans="3:7" s="287" customFormat="1" ht="13.5">
      <c r="C59" s="287" t="s">
        <v>1205</v>
      </c>
      <c r="D59" s="287" t="s">
        <v>1206</v>
      </c>
      <c r="E59" s="287" t="str">
        <f>GEL!D73</f>
        <v>DDRSS_DDRCTL_INIT6</v>
      </c>
      <c r="F59" s="287" t="str">
        <f>GEL!F73</f>
        <v>0x00000480</v>
      </c>
      <c r="G59" s="287" t="str">
        <f t="shared" si="2"/>
        <v>#define DDRCTL_INIT6 0x00000480</v>
      </c>
    </row>
    <row r="60" spans="3:7" s="287" customFormat="1" ht="13.5">
      <c r="C60" s="287" t="s">
        <v>1205</v>
      </c>
      <c r="D60" s="287" t="s">
        <v>1206</v>
      </c>
      <c r="E60" s="287" t="str">
        <f>GEL!D74</f>
        <v>DDRSS_DDRCTL_INIT7</v>
      </c>
      <c r="F60" s="287" t="str">
        <f>GEL!F74</f>
        <v>0x00000097</v>
      </c>
      <c r="G60" s="287" t="str">
        <f t="shared" si="2"/>
        <v>#define DDRCTL_INIT7 0x00000097</v>
      </c>
    </row>
    <row r="61" spans="3:7" s="287" customFormat="1" ht="13.5">
      <c r="C61" s="287" t="s">
        <v>1205</v>
      </c>
      <c r="D61" s="287" t="s">
        <v>1206</v>
      </c>
      <c r="E61" s="287" t="str">
        <f>GEL!D75</f>
        <v>DDRSS_DDRCTL_DRAMTMG0</v>
      </c>
      <c r="F61" s="287" t="str">
        <f>GEL!F75</f>
        <v>0x0B0A160B</v>
      </c>
      <c r="G61" s="287" t="str">
        <f t="shared" si="2"/>
        <v>#define DDRCTL_DRAMTMG0 0x0B0A160B</v>
      </c>
    </row>
    <row r="62" spans="3:7" s="287" customFormat="1" ht="13.5">
      <c r="C62" s="287" t="s">
        <v>1205</v>
      </c>
      <c r="D62" s="287" t="s">
        <v>1206</v>
      </c>
      <c r="E62" s="287" t="str">
        <f>GEL!D76</f>
        <v>DDRSS_DDRCTL_DRAMTMG1</v>
      </c>
      <c r="F62" s="287" t="str">
        <f>GEL!F76</f>
        <v>0x00020310</v>
      </c>
      <c r="G62" s="287" t="str">
        <f t="shared" si="2"/>
        <v>#define DDRCTL_DRAMTMG1 0x00020310</v>
      </c>
    </row>
    <row r="63" spans="3:7" s="287" customFormat="1" ht="13.5">
      <c r="C63" s="287" t="s">
        <v>1205</v>
      </c>
      <c r="D63" s="287" t="s">
        <v>1206</v>
      </c>
      <c r="E63" s="287" t="str">
        <f>GEL!D77</f>
        <v>DDRSS_DDRCTL_DRAMTMG2</v>
      </c>
      <c r="F63" s="287" t="str">
        <f>GEL!F77</f>
        <v>0x05060509</v>
      </c>
      <c r="G63" s="287" t="str">
        <f t="shared" si="2"/>
        <v>#define DDRCTL_DRAMTMG2 0x05060509</v>
      </c>
    </row>
    <row r="64" spans="3:7" s="287" customFormat="1" ht="13.5">
      <c r="C64" s="287" t="s">
        <v>1205</v>
      </c>
      <c r="D64" s="287" t="s">
        <v>1206</v>
      </c>
      <c r="E64" s="287" t="str">
        <f>GEL!D78</f>
        <v>DDRSS_DDRCTL_DRAMTMG3</v>
      </c>
      <c r="F64" s="287" t="str">
        <f>GEL!F78</f>
        <v>0x0000400C</v>
      </c>
      <c r="G64" s="287" t="str">
        <f t="shared" si="2"/>
        <v>#define DDRCTL_DRAMTMG3 0x0000400C</v>
      </c>
    </row>
    <row r="65" spans="3:7" s="287" customFormat="1" ht="13.5">
      <c r="C65" s="287" t="s">
        <v>1205</v>
      </c>
      <c r="D65" s="287" t="s">
        <v>1206</v>
      </c>
      <c r="E65" s="287" t="str">
        <f>GEL!D79</f>
        <v>DDRSS_DDRCTL_DRAMTMG4</v>
      </c>
      <c r="F65" s="287" t="str">
        <f>GEL!F79</f>
        <v>0x05020205</v>
      </c>
      <c r="G65" s="287" t="str">
        <f t="shared" si="2"/>
        <v>#define DDRCTL_DRAMTMG4 0x05020205</v>
      </c>
    </row>
    <row r="66" spans="3:7" s="287" customFormat="1" ht="13.5">
      <c r="C66" s="287" t="s">
        <v>1205</v>
      </c>
      <c r="D66" s="287" t="s">
        <v>1206</v>
      </c>
      <c r="E66" s="287" t="str">
        <f>GEL!D80</f>
        <v>DDRSS_DDRCTL_DRAMTMG5</v>
      </c>
      <c r="F66" s="287" t="str">
        <f>GEL!F80</f>
        <v>0x04040302</v>
      </c>
      <c r="G66" s="287" t="str">
        <f t="shared" si="2"/>
        <v>#define DDRCTL_DRAMTMG5 0x04040302</v>
      </c>
    </row>
    <row r="67" spans="3:7" s="287" customFormat="1" ht="13.5">
      <c r="C67" s="287" t="s">
        <v>1205</v>
      </c>
      <c r="D67" s="287" t="s">
        <v>1206</v>
      </c>
      <c r="E67" s="287" t="str">
        <f>GEL!D81</f>
        <v>DDRSS_DDRCTL_DRAMTMG6</v>
      </c>
      <c r="F67" s="287" t="str">
        <f>GEL!F81</f>
        <v>0x00000003</v>
      </c>
      <c r="G67" s="287" t="str">
        <f t="shared" si="2"/>
        <v>#define DDRCTL_DRAMTMG6 0x00000003</v>
      </c>
    </row>
    <row r="68" spans="3:7" s="287" customFormat="1" ht="13.5">
      <c r="C68" s="287" t="s">
        <v>1205</v>
      </c>
      <c r="D68" s="287" t="s">
        <v>1206</v>
      </c>
      <c r="E68" s="287" t="str">
        <f>GEL!D82</f>
        <v>DDRSS_DDRCTL_DRAMTMG7</v>
      </c>
      <c r="F68" s="287" t="str">
        <f>GEL!F82</f>
        <v>0x00000404</v>
      </c>
      <c r="G68" s="287" t="str">
        <f t="shared" si="2"/>
        <v>#define DDRCTL_DRAMTMG7 0x00000404</v>
      </c>
    </row>
    <row r="69" spans="3:7" s="287" customFormat="1" ht="13.5">
      <c r="C69" s="287" t="s">
        <v>1205</v>
      </c>
      <c r="D69" s="287" t="s">
        <v>1206</v>
      </c>
      <c r="E69" s="287" t="str">
        <f>GEL!D83</f>
        <v>DDRSS_DDRCTL_DRAMTMG8</v>
      </c>
      <c r="F69" s="287" t="str">
        <f>GEL!F83</f>
        <v>0x02020C04</v>
      </c>
      <c r="G69" s="287" t="str">
        <f t="shared" si="2"/>
        <v>#define DDRCTL_DRAMTMG8 0x02020C04</v>
      </c>
    </row>
    <row r="70" spans="3:7" s="287" customFormat="1" ht="13.5">
      <c r="C70" s="287" t="s">
        <v>1205</v>
      </c>
      <c r="D70" s="287" t="s">
        <v>1206</v>
      </c>
      <c r="E70" s="287" t="str">
        <f>GEL!D84</f>
        <v>DDRSS_DDRCTL_DRAMTMG9</v>
      </c>
      <c r="F70" s="287" t="str">
        <f>GEL!F84</f>
        <v>0x00020208</v>
      </c>
      <c r="G70" s="287" t="str">
        <f t="shared" si="2"/>
        <v>#define DDRCTL_DRAMTMG9 0x00020208</v>
      </c>
    </row>
    <row r="71" spans="3:7" s="287" customFormat="1" ht="13.5">
      <c r="C71" s="287" t="s">
        <v>1205</v>
      </c>
      <c r="D71" s="287" t="s">
        <v>1206</v>
      </c>
      <c r="E71" s="287" t="str">
        <f>GEL!D85</f>
        <v>DDRSS_DDRCTL_DRAMTMG10</v>
      </c>
      <c r="F71" s="287" t="str">
        <f>GEL!F85</f>
        <v>0x001C180A</v>
      </c>
      <c r="G71" s="287" t="str">
        <f t="shared" si="2"/>
        <v>#define DDRCTL_DRAMTMG10 0x001C180A</v>
      </c>
    </row>
    <row r="72" spans="3:7" s="287" customFormat="1" ht="13.5">
      <c r="C72" s="287" t="s">
        <v>1205</v>
      </c>
      <c r="D72" s="287" t="s">
        <v>1206</v>
      </c>
      <c r="E72" s="287" t="str">
        <f>GEL!D86</f>
        <v>DDRSS_DDRCTL_DRAMTMG11</v>
      </c>
      <c r="F72" s="287" t="str">
        <f>GEL!F86</f>
        <v>0x1005010E</v>
      </c>
      <c r="G72" s="287" t="str">
        <f t="shared" si="2"/>
        <v>#define DDRCTL_DRAMTMG11 0x1005010E</v>
      </c>
    </row>
    <row r="73" spans="3:7" s="287" customFormat="1" ht="13.5">
      <c r="C73" s="287" t="s">
        <v>1205</v>
      </c>
      <c r="D73" s="287" t="s">
        <v>1206</v>
      </c>
      <c r="E73" s="287" t="str">
        <f>GEL!D87</f>
        <v>DDRSS_DDRCTL_DRAMTMG12</v>
      </c>
      <c r="F73" s="287" t="str">
        <f>GEL!F87</f>
        <v>0x00020008</v>
      </c>
      <c r="G73" s="287" t="str">
        <f t="shared" si="2"/>
        <v>#define DDRCTL_DRAMTMG12 0x00020008</v>
      </c>
    </row>
    <row r="74" spans="3:7" s="287" customFormat="1" ht="13.5">
      <c r="C74" s="287" t="s">
        <v>1205</v>
      </c>
      <c r="D74" s="287" t="s">
        <v>1206</v>
      </c>
      <c r="E74" s="287" t="str">
        <f>GEL!D88</f>
        <v>DDRSS_DDRCTL_DRAMTMG13</v>
      </c>
      <c r="F74" s="287" t="str">
        <f>GEL!F88</f>
        <v>0x0B100002</v>
      </c>
      <c r="G74" s="287" t="str">
        <f t="shared" si="2"/>
        <v>#define DDRCTL_DRAMTMG13 0x0B100002</v>
      </c>
    </row>
    <row r="75" spans="3:7" s="287" customFormat="1" ht="13.5">
      <c r="C75" s="287" t="s">
        <v>1205</v>
      </c>
      <c r="D75" s="287" t="s">
        <v>1206</v>
      </c>
      <c r="E75" s="287" t="str">
        <f>GEL!D89</f>
        <v>DDRSS_DDRCTL_DRAMTMG14</v>
      </c>
      <c r="F75" s="287" t="str">
        <f>GEL!F89</f>
        <v>0x00000000</v>
      </c>
      <c r="G75" s="287" t="str">
        <f t="shared" si="2"/>
        <v>#define DDRCTL_DRAMTMG14 0x00000000</v>
      </c>
    </row>
    <row r="76" spans="3:7" s="287" customFormat="1" ht="13.5">
      <c r="C76" s="287" t="s">
        <v>1205</v>
      </c>
      <c r="D76" s="287" t="s">
        <v>1206</v>
      </c>
      <c r="E76" s="287" t="str">
        <f>GEL!D90</f>
        <v>DDRSS_DDRCTL_DRAMTMG15</v>
      </c>
      <c r="F76" s="287" t="str">
        <f>GEL!F90</f>
        <v>0x00000035</v>
      </c>
      <c r="G76" s="287" t="str">
        <f t="shared" si="2"/>
        <v>#define DDRCTL_DRAMTMG15 0x00000035</v>
      </c>
    </row>
    <row r="77" spans="3:7" s="287" customFormat="1" ht="13.5">
      <c r="C77" s="287" t="s">
        <v>1205</v>
      </c>
      <c r="D77" s="287" t="s">
        <v>1206</v>
      </c>
      <c r="E77" s="287" t="str">
        <f>GEL!D91</f>
        <v>DDRSS_DDRCTL_DRAMTMG17</v>
      </c>
      <c r="F77" s="287" t="str">
        <f>GEL!F91</f>
        <v>0x00430022</v>
      </c>
      <c r="G77" s="287" t="str">
        <f t="shared" si="2"/>
        <v>#define DDRCTL_DRAMTMG17 0x00430022</v>
      </c>
    </row>
    <row r="78" spans="3:7" s="287" customFormat="1" ht="13.5">
      <c r="C78" s="287" t="s">
        <v>1205</v>
      </c>
      <c r="D78" s="287" t="s">
        <v>1206</v>
      </c>
      <c r="E78" s="287" t="str">
        <f>GEL!D92</f>
        <v>DDRSS_DDRCTL_ZQCTL0</v>
      </c>
      <c r="F78" s="287" t="str">
        <f>GEL!F92</f>
        <v>0x21000040</v>
      </c>
      <c r="G78" s="287" t="str">
        <f t="shared" si="2"/>
        <v>#define DDRCTL_ZQCTL0 0x21000040</v>
      </c>
    </row>
    <row r="79" spans="3:7" s="287" customFormat="1" ht="13.5">
      <c r="C79" s="287" t="s">
        <v>1205</v>
      </c>
      <c r="D79" s="287" t="s">
        <v>1206</v>
      </c>
      <c r="E79" s="287" t="str">
        <f>GEL!D93</f>
        <v>DDRSS_DDRCTL_ZQCTL1</v>
      </c>
      <c r="F79" s="287" t="str">
        <f>GEL!F93</f>
        <v>0x02027BC8</v>
      </c>
      <c r="G79" s="287" t="str">
        <f t="shared" si="2"/>
        <v>#define DDRCTL_ZQCTL1 0x02027BC8</v>
      </c>
    </row>
    <row r="80" spans="3:7" s="287" customFormat="1" ht="13.5">
      <c r="C80" s="287" t="s">
        <v>1205</v>
      </c>
      <c r="D80" s="287" t="s">
        <v>1206</v>
      </c>
      <c r="E80" s="287" t="str">
        <f>GEL!D94</f>
        <v>DDRSS_DDRCTL_DFITMG0</v>
      </c>
      <c r="F80" s="287" t="str">
        <f>GEL!F94</f>
        <v>0x04888206</v>
      </c>
      <c r="G80" s="287" t="str">
        <f t="shared" si="2"/>
        <v>#define DDRCTL_DFITMG0 0x04888206</v>
      </c>
    </row>
    <row r="81" spans="1:8" s="287" customFormat="1" ht="13.5">
      <c r="C81" s="287" t="s">
        <v>1205</v>
      </c>
      <c r="D81" s="287" t="s">
        <v>1206</v>
      </c>
      <c r="E81" s="287" t="str">
        <f>GEL!D95</f>
        <v>DDRSS_DDRCTL_DFITMG1</v>
      </c>
      <c r="F81" s="287" t="str">
        <f>GEL!F95</f>
        <v>0x000A0606</v>
      </c>
      <c r="G81" s="287" t="str">
        <f t="shared" si="2"/>
        <v>#define DDRCTL_DFITMG1 0x000A0606</v>
      </c>
    </row>
    <row r="82" spans="1:8" s="287" customFormat="1" ht="13.5">
      <c r="C82" s="287" t="s">
        <v>1205</v>
      </c>
      <c r="D82" s="287" t="s">
        <v>1206</v>
      </c>
      <c r="E82" s="287" t="str">
        <f>GEL!D96</f>
        <v>DDRSS_DDRCTL_DFITMG2</v>
      </c>
      <c r="F82" s="287" t="str">
        <f>GEL!F96</f>
        <v>0x00000604</v>
      </c>
      <c r="G82" s="287" t="str">
        <f t="shared" si="2"/>
        <v>#define DDRCTL_DFITMG2 0x00000604</v>
      </c>
    </row>
    <row r="83" spans="1:8" s="287" customFormat="1" ht="13.5">
      <c r="C83" s="287" t="s">
        <v>1205</v>
      </c>
      <c r="D83" s="287" t="s">
        <v>1206</v>
      </c>
      <c r="E83" s="287" t="str">
        <f>GEL!D97</f>
        <v>DDRSS_DDRCTL_DFIMISC</v>
      </c>
      <c r="F83" s="287" t="str">
        <f>GEL!F97</f>
        <v>0x00000001</v>
      </c>
      <c r="G83" s="287" t="str">
        <f t="shared" si="2"/>
        <v>#define DDRCTL_DFIMISC 0x00000001</v>
      </c>
    </row>
    <row r="84" spans="1:8" ht="13.5">
      <c r="A84" s="287"/>
      <c r="B84" s="287"/>
      <c r="C84" s="287" t="s">
        <v>1205</v>
      </c>
      <c r="D84" s="287" t="s">
        <v>1206</v>
      </c>
      <c r="E84" s="287" t="str">
        <f>GEL!D98</f>
        <v>DDRSS_DDRCTL_ADDRMAP0</v>
      </c>
      <c r="F84" s="287" t="str">
        <f>GEL!F98</f>
        <v>0x0000001F</v>
      </c>
      <c r="G84" s="287" t="str">
        <f t="shared" si="2"/>
        <v>#define DDRCTL_ADDRMAP0 0x0000001F</v>
      </c>
      <c r="H84" s="287"/>
    </row>
    <row r="85" spans="1:8" ht="13.5">
      <c r="A85" s="287"/>
      <c r="B85" s="287"/>
      <c r="C85" s="287" t="s">
        <v>1205</v>
      </c>
      <c r="D85" s="287" t="s">
        <v>1206</v>
      </c>
      <c r="E85" s="287" t="str">
        <f>GEL!D99</f>
        <v>DDRSS_DDRCTL_ADDRMAP1</v>
      </c>
      <c r="F85" s="287" t="str">
        <f>GEL!F99</f>
        <v>0x003F0808</v>
      </c>
      <c r="G85" s="287" t="str">
        <f t="shared" si="2"/>
        <v>#define DDRCTL_ADDRMAP1 0x003F0808</v>
      </c>
      <c r="H85" s="287"/>
    </row>
    <row r="86" spans="1:8" ht="13.5">
      <c r="A86" s="287"/>
      <c r="B86" s="287"/>
      <c r="C86" s="287" t="s">
        <v>1205</v>
      </c>
      <c r="D86" s="287" t="s">
        <v>1206</v>
      </c>
      <c r="E86" s="287" t="str">
        <f>GEL!D100</f>
        <v>DDRSS_DDRCTL_ADDRMAP2</v>
      </c>
      <c r="F86" s="287" t="str">
        <f>GEL!F100</f>
        <v>0x00000000</v>
      </c>
      <c r="G86" s="287" t="str">
        <f t="shared" si="2"/>
        <v>#define DDRCTL_ADDRMAP2 0x00000000</v>
      </c>
      <c r="H86" s="287"/>
    </row>
    <row r="87" spans="1:8" ht="13.5">
      <c r="A87" s="287"/>
      <c r="B87" s="287"/>
      <c r="C87" s="287" t="s">
        <v>1205</v>
      </c>
      <c r="D87" s="287" t="s">
        <v>1206</v>
      </c>
      <c r="E87" s="287" t="str">
        <f>GEL!D101</f>
        <v>DDRSS_DDRCTL_ADDRMAP3</v>
      </c>
      <c r="F87" s="287" t="str">
        <f>GEL!F101</f>
        <v>0x00000000</v>
      </c>
      <c r="G87" s="287" t="str">
        <f t="shared" si="2"/>
        <v>#define DDRCTL_ADDRMAP3 0x00000000</v>
      </c>
      <c r="H87" s="287"/>
    </row>
    <row r="88" spans="1:8" ht="13.5">
      <c r="A88" s="287"/>
      <c r="B88" s="287"/>
      <c r="C88" s="287" t="s">
        <v>1205</v>
      </c>
      <c r="D88" s="287" t="s">
        <v>1206</v>
      </c>
      <c r="E88" s="287" t="str">
        <f>GEL!D102</f>
        <v>DDRSS_DDRCTL_ADDRMAP4</v>
      </c>
      <c r="F88" s="287" t="str">
        <f>GEL!F102</f>
        <v>0x00001F1F</v>
      </c>
      <c r="G88" s="287" t="str">
        <f t="shared" si="2"/>
        <v>#define DDRCTL_ADDRMAP4 0x00001F1F</v>
      </c>
      <c r="H88" s="287"/>
    </row>
    <row r="89" spans="1:8" ht="13.5">
      <c r="A89" s="287"/>
      <c r="B89" s="287"/>
      <c r="C89" s="287" t="s">
        <v>1205</v>
      </c>
      <c r="D89" s="287" t="s">
        <v>1206</v>
      </c>
      <c r="E89" s="287" t="str">
        <f>GEL!D103</f>
        <v>DDRSS_DDRCTL_ADDRMAP5</v>
      </c>
      <c r="F89" s="287" t="str">
        <f>GEL!F103</f>
        <v>0x07070707</v>
      </c>
      <c r="G89" s="287" t="str">
        <f t="shared" si="2"/>
        <v>#define DDRCTL_ADDRMAP5 0x07070707</v>
      </c>
      <c r="H89" s="287"/>
    </row>
    <row r="90" spans="1:8" ht="13.5">
      <c r="A90" s="287"/>
      <c r="B90" s="287"/>
      <c r="C90" s="287" t="s">
        <v>1205</v>
      </c>
      <c r="D90" s="287" t="s">
        <v>1206</v>
      </c>
      <c r="E90" s="287" t="str">
        <f>GEL!D104</f>
        <v>DDRSS_DDRCTL_ADDRMAP6</v>
      </c>
      <c r="F90" s="287" t="str">
        <f>GEL!F104</f>
        <v>0x0F070707</v>
      </c>
      <c r="G90" s="287" t="str">
        <f t="shared" si="2"/>
        <v>#define DDRCTL_ADDRMAP6 0x0F070707</v>
      </c>
      <c r="H90" s="287"/>
    </row>
    <row r="91" spans="1:8" ht="13.5">
      <c r="A91" s="287"/>
      <c r="B91" s="287"/>
      <c r="C91" s="287" t="s">
        <v>1205</v>
      </c>
      <c r="D91" s="287" t="s">
        <v>1206</v>
      </c>
      <c r="E91" s="287" t="str">
        <f>GEL!D105</f>
        <v>DDRSS_DDRCTL_ADDRMAP7</v>
      </c>
      <c r="F91" s="287" t="str">
        <f>GEL!F105</f>
        <v>0x00000F0F</v>
      </c>
      <c r="G91" s="287" t="str">
        <f t="shared" si="2"/>
        <v>#define DDRCTL_ADDRMAP7 0x00000F0F</v>
      </c>
      <c r="H91" s="291"/>
    </row>
    <row r="92" spans="1:8" ht="13.5">
      <c r="A92" s="287"/>
      <c r="B92" s="287"/>
      <c r="C92" s="287" t="s">
        <v>1205</v>
      </c>
      <c r="D92" s="287" t="s">
        <v>1206</v>
      </c>
      <c r="E92" s="287" t="str">
        <f>GEL!D106</f>
        <v>DDRSS_DDRCTL_ADDRMAP8</v>
      </c>
      <c r="F92" s="287" t="str">
        <f>GEL!F106</f>
        <v>0x00003F0A</v>
      </c>
      <c r="G92" s="287" t="str">
        <f t="shared" si="2"/>
        <v>#define DDRCTL_ADDRMAP8 0x00003F0A</v>
      </c>
      <c r="H92" s="287"/>
    </row>
    <row r="93" spans="1:8" ht="13.5">
      <c r="A93" s="287"/>
      <c r="B93" s="287"/>
      <c r="C93" s="287" t="s">
        <v>1205</v>
      </c>
      <c r="D93" s="287" t="s">
        <v>1206</v>
      </c>
      <c r="E93" s="287" t="str">
        <f>GEL!D107</f>
        <v>DDRSS_DDRCTL_ADDRMAP9</v>
      </c>
      <c r="F93" s="287" t="str">
        <f>GEL!F107</f>
        <v>0x00000000</v>
      </c>
      <c r="G93" s="287" t="str">
        <f t="shared" si="2"/>
        <v>#define DDRCTL_ADDRMAP9 0x00000000</v>
      </c>
      <c r="H93" s="287"/>
    </row>
    <row r="94" spans="1:8" ht="13.5">
      <c r="A94" s="287"/>
      <c r="B94" s="287"/>
      <c r="C94" s="287" t="s">
        <v>1205</v>
      </c>
      <c r="D94" s="287" t="s">
        <v>1206</v>
      </c>
      <c r="E94" s="287" t="str">
        <f>GEL!D108</f>
        <v>DDRSS_DDRCTL_ADDRMAP10</v>
      </c>
      <c r="F94" s="287" t="str">
        <f>GEL!F108</f>
        <v>0x00000000</v>
      </c>
      <c r="G94" s="287" t="str">
        <f t="shared" si="2"/>
        <v>#define DDRCTL_ADDRMAP10 0x00000000</v>
      </c>
      <c r="H94" s="287"/>
    </row>
    <row r="95" spans="1:8" ht="13.5">
      <c r="A95" s="287"/>
      <c r="B95" s="287"/>
      <c r="C95" s="287" t="s">
        <v>1205</v>
      </c>
      <c r="D95" s="287" t="s">
        <v>1206</v>
      </c>
      <c r="E95" s="287" t="str">
        <f>GEL!D109</f>
        <v>DDRSS_DDRCTL_ADDRMAP11</v>
      </c>
      <c r="F95" s="287" t="str">
        <f>GEL!F109</f>
        <v>0x001F1F00</v>
      </c>
      <c r="G95" s="287" t="str">
        <f t="shared" si="2"/>
        <v>#define DDRCTL_ADDRMAP11 0x001F1F00</v>
      </c>
      <c r="H95" s="287"/>
    </row>
    <row r="96" spans="1:8" ht="13.5">
      <c r="A96" s="287"/>
      <c r="B96" s="287"/>
      <c r="C96" s="287" t="s">
        <v>1205</v>
      </c>
      <c r="D96" s="287" t="s">
        <v>1206</v>
      </c>
      <c r="E96" s="287" t="str">
        <f>GEL!D111</f>
        <v>DDRSS_DDRCTL_DQMAP0</v>
      </c>
      <c r="F96" s="287" t="str">
        <f>GEL!F111</f>
        <v>0x00000000</v>
      </c>
      <c r="G96" s="287" t="str">
        <f t="shared" si="2"/>
        <v>#define DDRCTL_DQMAP0 0x00000000</v>
      </c>
      <c r="H96" s="287"/>
    </row>
    <row r="97" spans="1:8" ht="13.5">
      <c r="A97" s="287"/>
      <c r="B97" s="287"/>
      <c r="C97" s="287" t="s">
        <v>1205</v>
      </c>
      <c r="D97" s="287" t="s">
        <v>1206</v>
      </c>
      <c r="E97" s="287" t="str">
        <f>GEL!D112</f>
        <v>DDRSS_DDRCTL_DQMAP1</v>
      </c>
      <c r="F97" s="287" t="str">
        <f>GEL!F112</f>
        <v>0x00000000</v>
      </c>
      <c r="G97" s="287" t="str">
        <f t="shared" si="2"/>
        <v>#define DDRCTL_DQMAP1 0x00000000</v>
      </c>
      <c r="H97" s="287"/>
    </row>
    <row r="98" spans="1:8" ht="13.5">
      <c r="A98" s="287"/>
      <c r="B98" s="287"/>
      <c r="C98" s="287" t="s">
        <v>1205</v>
      </c>
      <c r="D98" s="287" t="s">
        <v>1206</v>
      </c>
      <c r="E98" s="287" t="str">
        <f>GEL!D113</f>
        <v>DDRSS_DDRCTL_DQMAP4</v>
      </c>
      <c r="F98" s="287" t="str">
        <f>GEL!F113</f>
        <v>0x00000000</v>
      </c>
      <c r="G98" s="287" t="str">
        <f t="shared" si="2"/>
        <v>#define DDRCTL_DQMAP4 0x00000000</v>
      </c>
      <c r="H98" s="287"/>
    </row>
    <row r="99" spans="1:8" s="287" customFormat="1" ht="13.5">
      <c r="C99" s="287" t="s">
        <v>1205</v>
      </c>
      <c r="D99" s="287" t="s">
        <v>1206</v>
      </c>
      <c r="E99" s="287" t="str">
        <f>GEL!D114</f>
        <v>DDRSS_DDRCTL_DQMAP5</v>
      </c>
      <c r="F99" s="287" t="str">
        <f>GEL!F114</f>
        <v>0x00000000</v>
      </c>
      <c r="G99" s="287" t="str">
        <f t="shared" si="2"/>
        <v>#define DDRCTL_DQMAP5 0x00000000</v>
      </c>
    </row>
    <row r="100" spans="1:8" s="287" customFormat="1" ht="13.5">
      <c r="C100" s="287" t="s">
        <v>1205</v>
      </c>
      <c r="D100" s="287" t="s">
        <v>1206</v>
      </c>
      <c r="E100" s="287" t="str">
        <f>GEL!D116</f>
        <v>DDRSS_DDRCTL_PWRCTL</v>
      </c>
      <c r="F100" s="287" t="str">
        <f>GEL!F116</f>
        <v>0x00000000</v>
      </c>
      <c r="G100" s="287" t="str">
        <f t="shared" si="2"/>
        <v>#define DDRCTL_PWRCTL 0x00000000</v>
      </c>
    </row>
    <row r="101" spans="1:8" s="287" customFormat="1" ht="13.5">
      <c r="C101" s="287" t="s">
        <v>1205</v>
      </c>
      <c r="D101" s="287" t="s">
        <v>1206</v>
      </c>
      <c r="E101" s="287" t="str">
        <f>GEL!D117</f>
        <v>DDRSS_DDRCTL_RANKCTL</v>
      </c>
      <c r="F101" s="287" t="str">
        <f>GEL!F117</f>
        <v>0x00000000</v>
      </c>
      <c r="G101" s="287" t="str">
        <f t="shared" si="2"/>
        <v>#define DDRCTL_RANKCTL 0x00000000</v>
      </c>
    </row>
    <row r="102" spans="1:8" ht="13.5">
      <c r="C102" s="287" t="s">
        <v>1205</v>
      </c>
      <c r="D102" s="287" t="s">
        <v>1206</v>
      </c>
      <c r="E102" s="287" t="str">
        <f>GEL!D119</f>
        <v>DDRSS_DDRCTL_ODTCFG</v>
      </c>
      <c r="F102" s="287" t="str">
        <f>GEL!F119</f>
        <v>0x0600060C</v>
      </c>
      <c r="G102" s="287" t="str">
        <f t="shared" si="2"/>
        <v>#define DDRCTL_ODTCFG 0x0600060C</v>
      </c>
    </row>
    <row r="103" spans="1:8" ht="13.5">
      <c r="C103" s="287" t="s">
        <v>1205</v>
      </c>
      <c r="D103" s="287" t="s">
        <v>1206</v>
      </c>
      <c r="E103" s="287" t="str">
        <f>GEL!D120</f>
        <v>DDRSS_DDRCTL_ODTMAP</v>
      </c>
      <c r="F103" s="287" t="str">
        <f>GEL!F120</f>
        <v>0x00000001</v>
      </c>
      <c r="G103" s="287" t="str">
        <f t="shared" si="2"/>
        <v>#define DDRCTL_ODTMAP 0x00000001</v>
      </c>
    </row>
    <row r="104" spans="1:8" ht="13.5">
      <c r="C104" s="287" t="s">
        <v>1205</v>
      </c>
      <c r="D104" s="287" t="s">
        <v>1206</v>
      </c>
      <c r="E104" s="287" t="str">
        <f>GEL!D142</f>
        <v>DDRSS_DDRPHY_PGCR0</v>
      </c>
      <c r="F104" s="287" t="str">
        <f>GEL!F142</f>
        <v>0x07001E00</v>
      </c>
      <c r="G104" s="287" t="str">
        <f t="shared" si="2"/>
        <v>#define DDRPHY_PGCR0 0x07001E00</v>
      </c>
    </row>
    <row r="105" spans="1:8" s="287" customFormat="1" ht="13.5">
      <c r="C105" s="287" t="s">
        <v>1205</v>
      </c>
      <c r="D105" s="287" t="s">
        <v>1206</v>
      </c>
      <c r="E105" s="287" t="str">
        <f>GEL!D143</f>
        <v>DDRSS_DDRPHY_PGCR1</v>
      </c>
      <c r="F105" s="287" t="str">
        <f>GEL!F143</f>
        <v>0x020046C0</v>
      </c>
      <c r="G105" s="287" t="str">
        <f t="shared" si="2"/>
        <v>#define DDRPHY_PGCR1 0x020046C0</v>
      </c>
    </row>
    <row r="106" spans="1:8" s="287" customFormat="1" ht="13.5">
      <c r="C106" s="287" t="s">
        <v>1205</v>
      </c>
      <c r="D106" s="287" t="s">
        <v>1206</v>
      </c>
      <c r="E106" s="287" t="str">
        <f>GEL!D144</f>
        <v>DDRSS_DDRPHY_PGCR2</v>
      </c>
      <c r="F106" s="287" t="str">
        <f>GEL!F144</f>
        <v>0x00F09F60</v>
      </c>
      <c r="G106" s="287" t="str">
        <f t="shared" si="2"/>
        <v>#define DDRPHY_PGCR2 0x00F09F60</v>
      </c>
    </row>
    <row r="107" spans="1:8" s="287" customFormat="1" ht="13.5">
      <c r="C107" s="287" t="s">
        <v>1205</v>
      </c>
      <c r="D107" s="287" t="s">
        <v>1206</v>
      </c>
      <c r="E107" s="287" t="str">
        <f>GEL!D145</f>
        <v>DDRSS_DDRPHY_PGCR3</v>
      </c>
      <c r="F107" s="287" t="str">
        <f>GEL!F145</f>
        <v>0x55AA0080</v>
      </c>
      <c r="G107" s="287" t="str">
        <f t="shared" si="2"/>
        <v>#define DDRPHY_PGCR3 0x55AA0080</v>
      </c>
    </row>
    <row r="108" spans="1:8" s="287" customFormat="1" ht="13.5">
      <c r="C108" s="287" t="s">
        <v>1205</v>
      </c>
      <c r="D108" s="287" t="s">
        <v>1206</v>
      </c>
      <c r="E108" s="287" t="str">
        <f>GEL!D146</f>
        <v>DDRSS_DDRPHY_PGCR6</v>
      </c>
      <c r="F108" s="287" t="str">
        <f>GEL!F146</f>
        <v>0x00013001</v>
      </c>
      <c r="G108" s="287" t="str">
        <f t="shared" si="2"/>
        <v>#define DDRPHY_PGCR6 0x00013001</v>
      </c>
    </row>
    <row r="109" spans="1:8" s="287" customFormat="1" ht="13.5">
      <c r="C109" s="287" t="s">
        <v>1205</v>
      </c>
      <c r="D109" s="287" t="s">
        <v>1206</v>
      </c>
      <c r="E109" s="287" t="str">
        <f>GEL!D148</f>
        <v>DDRSS_DDRPHY_PTR2</v>
      </c>
      <c r="F109" s="287" t="str">
        <f>GEL!F148</f>
        <v>0x00083DEF</v>
      </c>
      <c r="G109" s="287" t="str">
        <f t="shared" si="2"/>
        <v>#define DDRPHY_PTR2 0x00083DEF</v>
      </c>
    </row>
    <row r="110" spans="1:8" s="287" customFormat="1" ht="13.5">
      <c r="C110" s="287" t="s">
        <v>1205</v>
      </c>
      <c r="D110" s="287" t="s">
        <v>1206</v>
      </c>
      <c r="E110" s="287" t="str">
        <f>GEL!D149</f>
        <v>DDRSS_DDRPHY_PTR3</v>
      </c>
      <c r="F110" s="287" t="str">
        <f>GEL!F149</f>
        <v>0x00051616</v>
      </c>
      <c r="G110" s="287" t="str">
        <f t="shared" si="2"/>
        <v>#define DDRPHY_PTR3 0x00051616</v>
      </c>
    </row>
    <row r="111" spans="1:8" s="287" customFormat="1" ht="13.5">
      <c r="C111" s="287" t="s">
        <v>1205</v>
      </c>
      <c r="D111" s="287" t="s">
        <v>1206</v>
      </c>
      <c r="E111" s="287" t="str">
        <f>GEL!D150</f>
        <v>DDRSS_DDRPHY_PTR4</v>
      </c>
      <c r="F111" s="287" t="str">
        <f>GEL!F150</f>
        <v>0x000000F0</v>
      </c>
      <c r="G111" s="287" t="str">
        <f t="shared" si="2"/>
        <v>#define DDRPHY_PTR4 0x000000F0</v>
      </c>
    </row>
    <row r="112" spans="1:8" s="287" customFormat="1" ht="13.5">
      <c r="C112" s="287" t="s">
        <v>1205</v>
      </c>
      <c r="D112" s="287" t="s">
        <v>1206</v>
      </c>
      <c r="E112" s="287" t="str">
        <f>GEL!D151</f>
        <v>DDRSS_DDRPHY_PTR5</v>
      </c>
      <c r="F112" s="287" t="str">
        <f>GEL!F151</f>
        <v>0x000208D6</v>
      </c>
      <c r="G112" s="287" t="str">
        <f t="shared" ref="G112:G177" si="3">CONCATENATE(C112,D112," ",MID(E112,7,LEN(E112)-6)," ",F112)</f>
        <v>#define DDRPHY_PTR5 0x000208D6</v>
      </c>
    </row>
    <row r="113" spans="3:9" s="287" customFormat="1" ht="13.5">
      <c r="C113" s="287" t="s">
        <v>1205</v>
      </c>
      <c r="D113" s="287" t="s">
        <v>1206</v>
      </c>
      <c r="E113" s="287" t="str">
        <f>GEL!D152</f>
        <v>DDRSS_DDRPHY_PTR6</v>
      </c>
      <c r="F113" s="287" t="str">
        <f>GEL!F152</f>
        <v>0x0400029B</v>
      </c>
      <c r="G113" s="287" t="str">
        <f t="shared" si="3"/>
        <v>#define DDRPHY_PTR6 0x0400029B</v>
      </c>
    </row>
    <row r="114" spans="3:9" s="287" customFormat="1" ht="13.5">
      <c r="C114" s="287" t="s">
        <v>1205</v>
      </c>
      <c r="D114" s="287" t="s">
        <v>1206</v>
      </c>
      <c r="E114" s="287" t="str">
        <f>GEL!D154</f>
        <v>DDRSS_DDRPHY_PLLCR0</v>
      </c>
      <c r="F114" s="287" t="str">
        <f>GEL!F154</f>
        <v>0x021c4000</v>
      </c>
      <c r="G114" s="287" t="str">
        <f t="shared" si="3"/>
        <v>#define DDRPHY_PLLCR0 0x021c4000</v>
      </c>
    </row>
    <row r="115" spans="3:9" s="287" customFormat="1" ht="13.5">
      <c r="C115" s="287" t="s">
        <v>1205</v>
      </c>
      <c r="D115" s="287" t="s">
        <v>1206</v>
      </c>
      <c r="E115" s="287" t="str">
        <f>GEL!D156</f>
        <v>DDRSS_DDRPHY_DXCCR</v>
      </c>
      <c r="F115" s="287" t="str">
        <f>GEL!F156</f>
        <v>0x00000038</v>
      </c>
      <c r="G115" s="287" t="str">
        <f t="shared" si="3"/>
        <v>#define DDRPHY_DXCCR 0x00000038</v>
      </c>
    </row>
    <row r="116" spans="3:9" s="287" customFormat="1" ht="13.5">
      <c r="C116" s="287" t="s">
        <v>1205</v>
      </c>
      <c r="D116" s="287" t="s">
        <v>1206</v>
      </c>
      <c r="E116" s="287" t="str">
        <f>GEL!D157</f>
        <v>DDRSS_DDRPHY_DSGCR</v>
      </c>
      <c r="F116" s="287" t="str">
        <f>GEL!F157</f>
        <v>0x02A0C129</v>
      </c>
      <c r="G116" s="287" t="str">
        <f t="shared" si="3"/>
        <v>#define DDRPHY_DSGCR 0x02A0C129</v>
      </c>
    </row>
    <row r="117" spans="3:9" s="287" customFormat="1" ht="13.5">
      <c r="C117" s="287" t="s">
        <v>1205</v>
      </c>
      <c r="D117" s="287" t="s">
        <v>1206</v>
      </c>
      <c r="E117" s="287" t="str">
        <f>GEL!D159</f>
        <v>DDRSS_DDRPHY_DCR</v>
      </c>
      <c r="F117" s="287" t="str">
        <f>GEL!F159</f>
        <v>0x4000040C</v>
      </c>
      <c r="G117" s="287" t="str">
        <f t="shared" si="3"/>
        <v>#define DDRPHY_DCR 0x4000040C</v>
      </c>
    </row>
    <row r="118" spans="3:9" s="287" customFormat="1" ht="13.5">
      <c r="C118" s="287" t="s">
        <v>1205</v>
      </c>
      <c r="D118" s="287" t="s">
        <v>1206</v>
      </c>
      <c r="E118" s="287" t="str">
        <f>GEL!D161</f>
        <v>DDRSS_DDRPHY_DTPR0</v>
      </c>
      <c r="F118" s="287" t="str">
        <f>GEL!F161</f>
        <v>0x04160905</v>
      </c>
      <c r="G118" s="287" t="str">
        <f t="shared" si="3"/>
        <v>#define DDRPHY_DTPR0 0x04160905</v>
      </c>
    </row>
    <row r="119" spans="3:9" s="287" customFormat="1" ht="13.5">
      <c r="C119" s="287" t="s">
        <v>1205</v>
      </c>
      <c r="D119" s="287" t="s">
        <v>1206</v>
      </c>
      <c r="E119" s="287" t="str">
        <f>GEL!D162</f>
        <v>DDRSS_DDRPHY_DTPR1</v>
      </c>
      <c r="F119" s="287" t="str">
        <f>GEL!F162</f>
        <v>0x28140000</v>
      </c>
      <c r="G119" s="287" t="str">
        <f t="shared" si="3"/>
        <v>#define DDRPHY_DTPR1 0x28140000</v>
      </c>
    </row>
    <row r="120" spans="3:9" s="287" customFormat="1" ht="13.5">
      <c r="C120" s="287" t="s">
        <v>1205</v>
      </c>
      <c r="D120" s="287" t="s">
        <v>1206</v>
      </c>
      <c r="E120" s="287" t="str">
        <f>GEL!D163</f>
        <v>DDRSS_DDRPHY_DTPR2</v>
      </c>
      <c r="F120" s="287" t="str">
        <f>GEL!F163</f>
        <v>0x0034E300</v>
      </c>
      <c r="G120" s="287" t="str">
        <f t="shared" si="3"/>
        <v>#define DDRPHY_DTPR2 0x0034E300</v>
      </c>
      <c r="I120" s="287" t="s">
        <v>445</v>
      </c>
    </row>
    <row r="121" spans="3:9" s="287" customFormat="1" ht="13.5">
      <c r="C121" s="287" t="s">
        <v>1205</v>
      </c>
      <c r="D121" s="287" t="s">
        <v>1206</v>
      </c>
      <c r="E121" s="287" t="str">
        <f>GEL!D164</f>
        <v>DDRSS_DDRPHY_DTPR3</v>
      </c>
      <c r="F121" s="287" t="str">
        <f>GEL!F164</f>
        <v>0x02800800</v>
      </c>
      <c r="G121" s="287" t="str">
        <f t="shared" si="3"/>
        <v>#define DDRPHY_DTPR3 0x02800800</v>
      </c>
    </row>
    <row r="122" spans="3:9" s="287" customFormat="1" ht="13.5">
      <c r="C122" s="287" t="s">
        <v>1205</v>
      </c>
      <c r="D122" s="287" t="s">
        <v>1206</v>
      </c>
      <c r="E122" s="287" t="str">
        <f>GEL!D165</f>
        <v>DDRSS_DDRPHY_DTPR4</v>
      </c>
      <c r="F122" s="287" t="str">
        <f>GEL!F165</f>
        <v>0x30EA0704</v>
      </c>
      <c r="G122" s="287" t="str">
        <f t="shared" si="3"/>
        <v>#define DDRPHY_DTPR4 0x30EA0704</v>
      </c>
      <c r="I122" s="287" t="s">
        <v>337</v>
      </c>
    </row>
    <row r="123" spans="3:9" s="287" customFormat="1" ht="13.5">
      <c r="C123" s="287" t="s">
        <v>1205</v>
      </c>
      <c r="D123" s="287" t="s">
        <v>1206</v>
      </c>
      <c r="E123" s="287" t="str">
        <f>GEL!D166</f>
        <v>DDRSS_DDRPHY_DTPR5</v>
      </c>
      <c r="F123" s="287" t="str">
        <f>GEL!F166</f>
        <v>0x001F0905</v>
      </c>
      <c r="G123" s="287" t="str">
        <f t="shared" si="3"/>
        <v>#define DDRPHY_DTPR5 0x001F0905</v>
      </c>
      <c r="I123" s="287" t="s">
        <v>446</v>
      </c>
    </row>
    <row r="124" spans="3:9" s="287" customFormat="1" ht="13.5">
      <c r="C124" s="287" t="s">
        <v>1205</v>
      </c>
      <c r="D124" s="287" t="s">
        <v>1206</v>
      </c>
      <c r="E124" s="287" t="str">
        <f>GEL!D167</f>
        <v>DDRSS_DDRPHY_DTPR6</v>
      </c>
      <c r="F124" s="287" t="str">
        <f>GEL!F167</f>
        <v>0x00000505</v>
      </c>
      <c r="G124" s="287" t="str">
        <f t="shared" si="3"/>
        <v>#define DDRPHY_DTPR6 0x00000505</v>
      </c>
    </row>
    <row r="125" spans="3:9" s="287" customFormat="1" ht="13.5">
      <c r="C125" s="287" t="s">
        <v>1205</v>
      </c>
      <c r="D125" s="287" t="s">
        <v>1206</v>
      </c>
      <c r="E125" s="287" t="str">
        <f>GEL!D169</f>
        <v>DDRSS_DDRPHY_ZQCR</v>
      </c>
      <c r="F125" s="287" t="str">
        <f>GEL!F169</f>
        <v>0x0089EA58</v>
      </c>
      <c r="G125" s="287" t="str">
        <f t="shared" si="3"/>
        <v>#define DDRPHY_ZQCR 0x0089EA58</v>
      </c>
    </row>
    <row r="126" spans="3:9" s="287" customFormat="1" ht="13.5">
      <c r="C126" s="287" t="s">
        <v>1205</v>
      </c>
      <c r="D126" s="287" t="s">
        <v>1206</v>
      </c>
      <c r="E126" s="287" t="str">
        <f>GEL!D173</f>
        <v>DDRSS_DDRPHY_ZQ0PR0</v>
      </c>
      <c r="F126" s="287" t="str">
        <f>GEL!F173</f>
        <v>0x000077DD</v>
      </c>
      <c r="G126" s="287" t="str">
        <f t="shared" si="3"/>
        <v>#define DDRPHY_ZQ0PR0 0x000077DD</v>
      </c>
    </row>
    <row r="127" spans="3:9" s="287" customFormat="1" ht="13.5">
      <c r="C127" s="287" t="s">
        <v>1205</v>
      </c>
      <c r="D127" s="287" t="s">
        <v>1206</v>
      </c>
      <c r="E127" s="287" t="str">
        <f>GEL!D175</f>
        <v>DDRSS_DDRPHY_ZQ1PR0</v>
      </c>
      <c r="F127" s="287" t="str">
        <f>GEL!F175</f>
        <v>0x00007799</v>
      </c>
      <c r="G127" s="287" t="str">
        <f t="shared" si="3"/>
        <v>#define DDRPHY_ZQ1PR0 0x00007799</v>
      </c>
    </row>
    <row r="128" spans="3:9" s="287" customFormat="1" ht="13.5">
      <c r="C128" s="287" t="s">
        <v>1205</v>
      </c>
      <c r="D128" s="287" t="s">
        <v>1206</v>
      </c>
      <c r="E128" s="287" t="str">
        <f>GEL!D182</f>
        <v>DDRSS_DDRPHY_MR0</v>
      </c>
      <c r="F128" s="287" t="str">
        <f>GEL!F182</f>
        <v>0x00000014</v>
      </c>
      <c r="G128" s="287" t="str">
        <f t="shared" si="3"/>
        <v>#define DDRPHY_MR0 0x00000014</v>
      </c>
    </row>
    <row r="129" spans="3:7" s="287" customFormat="1" ht="13.5">
      <c r="C129" s="287" t="s">
        <v>1205</v>
      </c>
      <c r="D129" s="287" t="s">
        <v>1206</v>
      </c>
      <c r="E129" s="287" t="str">
        <f>GEL!D183</f>
        <v>DDRSS_DDRPHY_MR1</v>
      </c>
      <c r="F129" s="287" t="str">
        <f>GEL!F183</f>
        <v>0x00000501</v>
      </c>
      <c r="G129" s="287" t="str">
        <f t="shared" si="3"/>
        <v>#define DDRPHY_MR1 0x00000501</v>
      </c>
    </row>
    <row r="130" spans="3:7" s="287" customFormat="1" ht="13.5">
      <c r="C130" s="287" t="s">
        <v>1205</v>
      </c>
      <c r="D130" s="287" t="s">
        <v>1206</v>
      </c>
      <c r="E130" s="287" t="str">
        <f>GEL!D184</f>
        <v>DDRSS_DDRPHY_MR2</v>
      </c>
      <c r="F130" s="287" t="str">
        <f>GEL!F184</f>
        <v>0x00000000</v>
      </c>
      <c r="G130" s="287" t="str">
        <f t="shared" si="3"/>
        <v>#define DDRPHY_MR2 0x00000000</v>
      </c>
    </row>
    <row r="131" spans="3:7" s="287" customFormat="1" ht="13.5">
      <c r="C131" s="287" t="s">
        <v>1205</v>
      </c>
      <c r="D131" s="287" t="s">
        <v>1206</v>
      </c>
      <c r="E131" s="287" t="str">
        <f>GEL!D185</f>
        <v>DDRSS_DDRPHY_MR3</v>
      </c>
      <c r="F131" s="287" t="str">
        <f>GEL!F185</f>
        <v>0x00000020</v>
      </c>
      <c r="G131" s="287" t="str">
        <f t="shared" si="3"/>
        <v>#define DDRPHY_MR3 0x00000020</v>
      </c>
    </row>
    <row r="132" spans="3:7" s="287" customFormat="1" ht="13.5">
      <c r="C132" s="287" t="s">
        <v>1205</v>
      </c>
      <c r="D132" s="287" t="s">
        <v>1206</v>
      </c>
      <c r="E132" s="287" t="str">
        <f>GEL!D186</f>
        <v>DDRSS_DDRPHY_MR4</v>
      </c>
      <c r="F132" s="287" t="str">
        <f>GEL!F186</f>
        <v>0x00000000</v>
      </c>
      <c r="G132" s="287" t="str">
        <f t="shared" si="3"/>
        <v>#define DDRPHY_MR4 0x00000000</v>
      </c>
    </row>
    <row r="133" spans="3:7" s="287" customFormat="1" ht="13.5">
      <c r="C133" s="287" t="s">
        <v>1205</v>
      </c>
      <c r="D133" s="287" t="s">
        <v>1206</v>
      </c>
      <c r="E133" s="287" t="str">
        <f>GEL!D187</f>
        <v>DDRSS_DDRPHY_MR5</v>
      </c>
      <c r="F133" s="287" t="str">
        <f>GEL!F187</f>
        <v>0x00000480</v>
      </c>
      <c r="G133" s="287" t="str">
        <f t="shared" si="3"/>
        <v>#define DDRPHY_MR5 0x00000480</v>
      </c>
    </row>
    <row r="134" spans="3:7" s="287" customFormat="1" ht="13.5">
      <c r="C134" s="287" t="s">
        <v>1205</v>
      </c>
      <c r="D134" s="287" t="s">
        <v>1206</v>
      </c>
      <c r="E134" s="287" t="str">
        <f>GEL!D188</f>
        <v>DDRSS_DDRPHY_MR6</v>
      </c>
      <c r="F134" s="287" t="str">
        <f>GEL!F188</f>
        <v>0x00000097</v>
      </c>
      <c r="G134" s="287" t="str">
        <f t="shared" si="3"/>
        <v>#define DDRPHY_MR6 0x00000097</v>
      </c>
    </row>
    <row r="135" spans="3:7" s="287" customFormat="1" ht="13.5">
      <c r="C135" s="287" t="s">
        <v>1205</v>
      </c>
      <c r="D135" s="287" t="s">
        <v>1206</v>
      </c>
      <c r="E135" s="287" t="str">
        <f>GEL!D189</f>
        <v>DDRSS_DDRPHY_MR11</v>
      </c>
      <c r="F135" s="287" t="str">
        <f>GEL!F189</f>
        <v>0x00000000</v>
      </c>
      <c r="G135" s="287" t="str">
        <f t="shared" si="3"/>
        <v>#define DDRPHY_MR11 0x00000000</v>
      </c>
    </row>
    <row r="136" spans="3:7" s="287" customFormat="1" ht="13.5">
      <c r="C136" s="287" t="s">
        <v>1205</v>
      </c>
      <c r="D136" s="287" t="s">
        <v>1206</v>
      </c>
      <c r="E136" s="287" t="str">
        <f>GEL!D190</f>
        <v>DDRSS_DDRPHY_MR12</v>
      </c>
      <c r="F136" s="287" t="str">
        <f>GEL!F190</f>
        <v>0x00000000</v>
      </c>
      <c r="G136" s="287" t="str">
        <f t="shared" si="3"/>
        <v>#define DDRPHY_MR12 0x00000000</v>
      </c>
    </row>
    <row r="137" spans="3:7" s="287" customFormat="1" ht="13.5">
      <c r="C137" s="287" t="s">
        <v>1205</v>
      </c>
      <c r="D137" s="287" t="s">
        <v>1206</v>
      </c>
      <c r="E137" s="287" t="str">
        <f>GEL!D191</f>
        <v>DDRSS_DDRPHY_MR13</v>
      </c>
      <c r="F137" s="287" t="str">
        <f>GEL!F191</f>
        <v>0x00000000</v>
      </c>
      <c r="G137" s="287" t="str">
        <f t="shared" si="3"/>
        <v>#define DDRPHY_MR13 0x00000000</v>
      </c>
    </row>
    <row r="138" spans="3:7" s="287" customFormat="1" ht="13.5">
      <c r="C138" s="287" t="s">
        <v>1205</v>
      </c>
      <c r="D138" s="287" t="s">
        <v>1206</v>
      </c>
      <c r="E138" s="287" t="str">
        <f>GEL!D192</f>
        <v>DDRSS_DDRPHY_MR14</v>
      </c>
      <c r="F138" s="287" t="str">
        <f>GEL!F192</f>
        <v>0x00000000</v>
      </c>
      <c r="G138" s="287" t="str">
        <f t="shared" si="3"/>
        <v>#define DDRPHY_MR14 0x00000000</v>
      </c>
    </row>
    <row r="139" spans="3:7" s="287" customFormat="1" ht="13.5">
      <c r="C139" s="287" t="s">
        <v>1205</v>
      </c>
      <c r="D139" s="287" t="s">
        <v>1206</v>
      </c>
      <c r="E139" s="287" t="str">
        <f>GEL!D193</f>
        <v>DDRSS_DDRPHY_MR22</v>
      </c>
      <c r="F139" s="287" t="str">
        <f>GEL!F193</f>
        <v>0x00000000</v>
      </c>
      <c r="G139" s="287" t="str">
        <f t="shared" si="3"/>
        <v>#define DDRPHY_MR22 0x00000000</v>
      </c>
    </row>
    <row r="140" spans="3:7" ht="13.5">
      <c r="C140" s="287" t="s">
        <v>1205</v>
      </c>
      <c r="D140" s="287" t="s">
        <v>1206</v>
      </c>
      <c r="E140" s="287" t="str">
        <f>GEL!D195</f>
        <v>DDRSS_DDRPHY_VTCR0</v>
      </c>
      <c r="F140" s="287" t="str">
        <f>GEL!F195</f>
        <v>0xF3C32017</v>
      </c>
      <c r="G140" s="287" t="str">
        <f t="shared" si="3"/>
        <v>#define DDRPHY_VTCR0 0xF3C32017</v>
      </c>
    </row>
    <row r="141" spans="3:7" ht="13.5">
      <c r="C141" s="287" t="s">
        <v>1205</v>
      </c>
      <c r="D141" s="287" t="s">
        <v>1206</v>
      </c>
      <c r="E141" s="287" t="str">
        <f>GEL!D197</f>
        <v>DDRSS_DDRPHY_DX8SL0PLLCR0</v>
      </c>
      <c r="F141" s="287" t="str">
        <f>GEL!F197</f>
        <v>0x021c4000</v>
      </c>
      <c r="G141" s="287" t="str">
        <f t="shared" si="3"/>
        <v>#define DDRPHY_DX8SL0PLLCR0 0x021c4000</v>
      </c>
    </row>
    <row r="142" spans="3:7" s="287" customFormat="1" ht="13.5">
      <c r="C142" s="287" t="s">
        <v>1205</v>
      </c>
      <c r="D142" s="287" t="s">
        <v>1206</v>
      </c>
      <c r="E142" s="287" t="str">
        <f>GEL!D198</f>
        <v>DDRSS_DDRPHY_DX8SL1PLLCR0</v>
      </c>
      <c r="F142" s="287" t="str">
        <f>GEL!F198</f>
        <v>0x021c4000</v>
      </c>
      <c r="G142" s="287" t="str">
        <f t="shared" si="3"/>
        <v>#define DDRPHY_DX8SL1PLLCR0 0x021c4000</v>
      </c>
    </row>
    <row r="143" spans="3:7" s="287" customFormat="1" ht="13.5">
      <c r="C143" s="287" t="s">
        <v>1205</v>
      </c>
      <c r="D143" s="287" t="s">
        <v>1206</v>
      </c>
      <c r="E143" s="287" t="str">
        <f>GEL!D199</f>
        <v>DDRSS_DDRPHY_DX8SL2PLLCR0</v>
      </c>
      <c r="F143" s="287" t="str">
        <f>GEL!F199</f>
        <v>0x021c4000</v>
      </c>
      <c r="G143" s="287" t="str">
        <f t="shared" si="3"/>
        <v>#define DDRPHY_DX8SL2PLLCR0 0x021c4000</v>
      </c>
    </row>
    <row r="144" spans="3:7" s="287" customFormat="1" ht="13.5">
      <c r="C144" s="287" t="s">
        <v>1205</v>
      </c>
      <c r="D144" s="287" t="s">
        <v>1206</v>
      </c>
      <c r="E144" s="287" t="str">
        <f>GEL!D201</f>
        <v>DDRSS_DDRPHY_DTCR0</v>
      </c>
      <c r="F144" s="287" t="str">
        <f>GEL!F201</f>
        <v>0x8000B1C7</v>
      </c>
      <c r="G144" s="287" t="str">
        <f t="shared" si="3"/>
        <v>#define DDRPHY_DTCR0 0x8000B1C7</v>
      </c>
    </row>
    <row r="145" spans="1:7" s="287" customFormat="1" ht="13.5">
      <c r="C145" s="287" t="s">
        <v>1205</v>
      </c>
      <c r="D145" s="287" t="s">
        <v>1206</v>
      </c>
      <c r="E145" s="287" t="str">
        <f>GEL!D202</f>
        <v>DDRSS_DDRPHY_DTCR1</v>
      </c>
      <c r="F145" s="287" t="str">
        <f>GEL!F202</f>
        <v>0x00010236</v>
      </c>
      <c r="G145" s="287" t="str">
        <f t="shared" si="3"/>
        <v>#define DDRPHY_DTCR1 0x00010236</v>
      </c>
    </row>
    <row r="146" spans="1:7" s="287" customFormat="1" ht="13.5">
      <c r="C146" s="287" t="s">
        <v>1205</v>
      </c>
      <c r="D146" s="287" t="s">
        <v>1206</v>
      </c>
      <c r="E146" s="287" t="str">
        <f>GEL!D204</f>
        <v>DDRSS_DDRPHY_ACIOCR0</v>
      </c>
      <c r="F146" s="287" t="str">
        <f>GEL!F204</f>
        <v>0xF0070000</v>
      </c>
      <c r="G146" s="287" t="str">
        <f t="shared" si="3"/>
        <v>#define DDRPHY_ACIOCR0 0xF0070000</v>
      </c>
    </row>
    <row r="147" spans="1:7" s="287" customFormat="1" ht="13.5">
      <c r="C147" s="287" t="s">
        <v>1205</v>
      </c>
      <c r="D147" s="287" t="s">
        <v>1206</v>
      </c>
      <c r="E147" s="287" t="str">
        <f>GEL!D205</f>
        <v>DDRSS_DDRPHY_ACIOCR3</v>
      </c>
      <c r="F147" s="287" t="str">
        <f>GEL!F205</f>
        <v>0x20000001</v>
      </c>
      <c r="G147" s="287" t="str">
        <f t="shared" si="3"/>
        <v>#define DDRPHY_ACIOCR3 0x20000001</v>
      </c>
    </row>
    <row r="148" spans="1:7" s="287" customFormat="1" ht="13.5">
      <c r="C148" s="287" t="s">
        <v>1205</v>
      </c>
      <c r="D148" s="287" t="s">
        <v>1206</v>
      </c>
      <c r="E148" s="287" t="str">
        <f>GEL!D206</f>
        <v>DDRSS_DDRPHY_ACIOCR5</v>
      </c>
      <c r="F148" s="287" t="str">
        <f>GEL!F206</f>
        <v>0x04800000</v>
      </c>
      <c r="G148" s="287" t="str">
        <f t="shared" si="3"/>
        <v>#define DDRPHY_ACIOCR5 0x04800000</v>
      </c>
    </row>
    <row r="149" spans="1:7" s="287" customFormat="1" ht="13.5">
      <c r="C149" s="287" t="s">
        <v>1205</v>
      </c>
      <c r="D149" s="287" t="s">
        <v>1206</v>
      </c>
      <c r="E149" s="287" t="str">
        <f>GEL!D208</f>
        <v>DDRSS_DDRPHY_IOVCR0</v>
      </c>
      <c r="F149" s="287" t="str">
        <f>GEL!F208</f>
        <v>0x0F0C0C0C</v>
      </c>
      <c r="G149" s="287" t="str">
        <f t="shared" si="3"/>
        <v>#define DDRPHY_IOVCR0 0x0F0C0C0C</v>
      </c>
    </row>
    <row r="150" spans="1:7" s="287" customFormat="1" ht="13.5">
      <c r="C150" s="287" t="s">
        <v>1205</v>
      </c>
      <c r="D150" s="287" t="s">
        <v>1206</v>
      </c>
      <c r="E150" s="287" t="str">
        <f>GEL!D212</f>
        <v>DDRSS_DDRPHY_DX0GCR0</v>
      </c>
      <c r="F150" s="287" t="str">
        <f>GEL!F212</f>
        <v>0x00000000</v>
      </c>
      <c r="G150" s="287" t="str">
        <f t="shared" si="3"/>
        <v>#define DDRPHY_DX0GCR0 0x00000000</v>
      </c>
    </row>
    <row r="151" spans="1:7" s="287" customFormat="1" ht="13.5">
      <c r="C151" s="287" t="s">
        <v>1205</v>
      </c>
      <c r="D151" s="287" t="s">
        <v>1206</v>
      </c>
      <c r="E151" s="287" t="str">
        <f>GEL!D213</f>
        <v>DDRSS_DDRPHY_DX0GCR1</v>
      </c>
      <c r="F151" s="287" t="str">
        <f>GEL!F213</f>
        <v>0x00000000</v>
      </c>
      <c r="G151" s="287" t="str">
        <f t="shared" si="3"/>
        <v>#define DDRPHY_DX0GCR1 0x00000000</v>
      </c>
    </row>
    <row r="152" spans="1:7" s="287" customFormat="1" ht="13.5">
      <c r="C152" s="287" t="s">
        <v>1205</v>
      </c>
      <c r="D152" s="287" t="s">
        <v>1206</v>
      </c>
      <c r="E152" s="287" t="str">
        <f>GEL!D214</f>
        <v>DDRSS_DDRPHY_DX0GCR2</v>
      </c>
      <c r="F152" s="287" t="str">
        <f>GEL!F214</f>
        <v>0x00000000</v>
      </c>
      <c r="G152" s="287" t="str">
        <f t="shared" si="3"/>
        <v>#define DDRPHY_DX0GCR2 0x00000000</v>
      </c>
    </row>
    <row r="153" spans="1:7" s="287" customFormat="1" ht="13.5">
      <c r="C153" s="287" t="s">
        <v>1205</v>
      </c>
      <c r="D153" s="287" t="s">
        <v>1206</v>
      </c>
      <c r="E153" s="287" t="str">
        <f>GEL!D215</f>
        <v xml:space="preserve">DDRSS_DDRPHY_DX0GCR3 </v>
      </c>
      <c r="F153" s="287" t="str">
        <f>GEL!F215</f>
        <v>0x00000000</v>
      </c>
      <c r="G153" s="287" t="str">
        <f t="shared" si="3"/>
        <v>#define DDRPHY_DX0GCR3  0x00000000</v>
      </c>
    </row>
    <row r="154" spans="1:7" s="287" customFormat="1" ht="13.5">
      <c r="C154" s="287" t="s">
        <v>1205</v>
      </c>
      <c r="D154" s="287" t="s">
        <v>1206</v>
      </c>
      <c r="E154" s="287" t="str">
        <f>GEL!D216</f>
        <v>DDRSS_DDRPHY_DX1GCR0</v>
      </c>
      <c r="F154" s="287" t="str">
        <f>GEL!F216</f>
        <v>0x00000000</v>
      </c>
      <c r="G154" s="287" t="str">
        <f t="shared" si="3"/>
        <v>#define DDRPHY_DX1GCR0 0x00000000</v>
      </c>
    </row>
    <row r="155" spans="1:7" s="287" customFormat="1" ht="13.5">
      <c r="C155" s="287" t="s">
        <v>1205</v>
      </c>
      <c r="D155" s="287" t="s">
        <v>1206</v>
      </c>
      <c r="E155" s="287" t="str">
        <f>GEL!D217</f>
        <v>DDRSS_DDRPHY_DX1GCR1</v>
      </c>
      <c r="F155" s="287" t="str">
        <f>GEL!F217</f>
        <v>0x00000000</v>
      </c>
      <c r="G155" s="287" t="str">
        <f t="shared" si="3"/>
        <v>#define DDRPHY_DX1GCR1 0x00000000</v>
      </c>
    </row>
    <row r="156" spans="1:7" s="287" customFormat="1" ht="13.5">
      <c r="C156" s="287" t="s">
        <v>1205</v>
      </c>
      <c r="D156" s="287" t="s">
        <v>1206</v>
      </c>
      <c r="E156" s="287" t="str">
        <f>GEL!D218</f>
        <v>DDRSS_DDRPHY_DX1GCR2</v>
      </c>
      <c r="F156" s="287" t="str">
        <f>GEL!F218</f>
        <v>0x00000000</v>
      </c>
      <c r="G156" s="287" t="str">
        <f t="shared" si="3"/>
        <v>#define DDRPHY_DX1GCR2 0x00000000</v>
      </c>
    </row>
    <row r="157" spans="1:7" s="287" customFormat="1" ht="13.5">
      <c r="C157" s="287" t="s">
        <v>1205</v>
      </c>
      <c r="D157" s="287" t="s">
        <v>1206</v>
      </c>
      <c r="E157" s="287" t="str">
        <f>GEL!D219</f>
        <v>DDRSS_DDRPHY_DX1GCR3</v>
      </c>
      <c r="F157" s="287" t="str">
        <f>GEL!F219</f>
        <v>0x00000000</v>
      </c>
      <c r="G157" s="287" t="str">
        <f t="shared" si="3"/>
        <v>#define DDRPHY_DX1GCR3 0x00000000</v>
      </c>
    </row>
    <row r="158" spans="1:7" s="287" customFormat="1" ht="13.5">
      <c r="C158" s="287" t="s">
        <v>1205</v>
      </c>
      <c r="D158" s="287" t="s">
        <v>1206</v>
      </c>
      <c r="E158" s="287" t="str">
        <f>GEL!D220</f>
        <v>DDRSS_DDRPHY_DX2GCR0</v>
      </c>
      <c r="F158" s="287" t="str">
        <f>GEL!F220</f>
        <v>0x40700204</v>
      </c>
      <c r="G158" s="287" t="str">
        <f t="shared" si="3"/>
        <v>#define DDRPHY_DX2GCR0 0x40700204</v>
      </c>
    </row>
    <row r="159" spans="1:7" s="287" customFormat="1" ht="13.5">
      <c r="A159" s="287" t="s">
        <v>336</v>
      </c>
      <c r="C159" s="287" t="s">
        <v>1205</v>
      </c>
      <c r="D159" s="287" t="s">
        <v>1206</v>
      </c>
      <c r="E159" s="287" t="str">
        <f>GEL!D221</f>
        <v>DDRSS_DDRPHY_DX2GCR1</v>
      </c>
      <c r="F159" s="287" t="str">
        <f>GEL!F221</f>
        <v>0x00007FFF</v>
      </c>
      <c r="G159" s="287" t="str">
        <f t="shared" si="3"/>
        <v>#define DDRPHY_DX2GCR1 0x00007FFF</v>
      </c>
    </row>
    <row r="160" spans="1:7" s="287" customFormat="1" ht="13.5">
      <c r="A160" s="287" t="s">
        <v>336</v>
      </c>
      <c r="C160" s="287" t="s">
        <v>1205</v>
      </c>
      <c r="D160" s="287" t="s">
        <v>1206</v>
      </c>
      <c r="E160" s="287" t="str">
        <f>GEL!D222</f>
        <v>DDRSS_DDRPHY_DX2GCR2</v>
      </c>
      <c r="F160" s="287" t="str">
        <f>GEL!F222</f>
        <v>0x00000000</v>
      </c>
      <c r="G160" s="287" t="str">
        <f t="shared" si="3"/>
        <v>#define DDRPHY_DX2GCR2 0x00000000</v>
      </c>
    </row>
    <row r="161" spans="3:7" s="287" customFormat="1" ht="13.5">
      <c r="C161" s="287" t="s">
        <v>1205</v>
      </c>
      <c r="D161" s="287" t="s">
        <v>1206</v>
      </c>
      <c r="E161" s="287" t="str">
        <f>GEL!D223</f>
        <v xml:space="preserve">DDRSS_DDRPHY_DX2GCR3 </v>
      </c>
      <c r="F161" s="287" t="str">
        <f>GEL!F223</f>
        <v>0xFFC0010B</v>
      </c>
      <c r="G161" s="287" t="str">
        <f t="shared" si="3"/>
        <v>#define DDRPHY_DX2GCR3  0xFFC0010B</v>
      </c>
    </row>
    <row r="162" spans="3:7" s="287" customFormat="1" ht="13.5">
      <c r="C162" s="287" t="s">
        <v>1205</v>
      </c>
      <c r="D162" s="287" t="s">
        <v>1206</v>
      </c>
      <c r="E162" s="287" t="str">
        <f>GEL!D224</f>
        <v>DDRSS_DDRPHY_DX3GCR0</v>
      </c>
      <c r="F162" s="287" t="str">
        <f>GEL!F224</f>
        <v>0x40700204</v>
      </c>
      <c r="G162" s="287" t="str">
        <f t="shared" si="3"/>
        <v>#define DDRPHY_DX3GCR0 0x40700204</v>
      </c>
    </row>
    <row r="163" spans="3:7" s="287" customFormat="1" ht="13.5">
      <c r="C163" s="287" t="s">
        <v>1205</v>
      </c>
      <c r="D163" s="287" t="s">
        <v>1206</v>
      </c>
      <c r="E163" s="287" t="str">
        <f>GEL!D225</f>
        <v>DDRSS_DDRPHY_DX3GCR1</v>
      </c>
      <c r="F163" s="287" t="str">
        <f>GEL!F225</f>
        <v>0x00007FFF</v>
      </c>
      <c r="G163" s="287" t="str">
        <f t="shared" si="3"/>
        <v>#define DDRPHY_DX3GCR1 0x00007FFF</v>
      </c>
    </row>
    <row r="164" spans="3:7" s="287" customFormat="1" ht="13.5">
      <c r="C164" s="287" t="s">
        <v>1205</v>
      </c>
      <c r="D164" s="287" t="s">
        <v>1206</v>
      </c>
      <c r="E164" s="287" t="str">
        <f>GEL!D226</f>
        <v>DDRSS_DDRPHY_DX3GCR2</v>
      </c>
      <c r="F164" s="287" t="str">
        <f>GEL!F226</f>
        <v>0x00000000</v>
      </c>
      <c r="G164" s="287" t="str">
        <f t="shared" si="3"/>
        <v>#define DDRPHY_DX3GCR2 0x00000000</v>
      </c>
    </row>
    <row r="165" spans="3:7" s="287" customFormat="1" ht="13.5">
      <c r="C165" s="287" t="s">
        <v>1205</v>
      </c>
      <c r="D165" s="287" t="s">
        <v>1206</v>
      </c>
      <c r="E165" s="287" t="str">
        <f>GEL!D227</f>
        <v xml:space="preserve">DDRSS_DDRPHY_DX3GCR3 </v>
      </c>
      <c r="F165" s="287" t="str">
        <f>GEL!F227</f>
        <v>0xFFC0010B</v>
      </c>
      <c r="G165" s="287" t="str">
        <f t="shared" si="3"/>
        <v>#define DDRPHY_DX3GCR3  0xFFC0010B</v>
      </c>
    </row>
    <row r="166" spans="3:7" s="287" customFormat="1" ht="13.5">
      <c r="C166" s="287" t="s">
        <v>1205</v>
      </c>
      <c r="D166" s="287" t="s">
        <v>1206</v>
      </c>
      <c r="E166" s="287" t="str">
        <f>GEL!D228</f>
        <v>DDRSS_DDRPHY_DX4GCR0</v>
      </c>
      <c r="F166" s="287" t="str">
        <f>GEL!F228</f>
        <v>0x40703220</v>
      </c>
      <c r="G166" s="287" t="str">
        <f t="shared" si="3"/>
        <v>#define DDRPHY_DX4GCR0 0x40703220</v>
      </c>
    </row>
    <row r="167" spans="3:7" s="287" customFormat="1" ht="13.5">
      <c r="C167" s="287" t="s">
        <v>1205</v>
      </c>
      <c r="D167" s="287" t="s">
        <v>1206</v>
      </c>
      <c r="E167" s="287" t="str">
        <f>GEL!D229</f>
        <v>DDRSS_DDRPHY_DX4GCR1</v>
      </c>
      <c r="F167" s="287" t="str">
        <f>GEL!F229</f>
        <v>0x55556000</v>
      </c>
      <c r="G167" s="287" t="str">
        <f t="shared" si="3"/>
        <v>#define DDRPHY_DX4GCR1 0x55556000</v>
      </c>
    </row>
    <row r="168" spans="3:7" s="287" customFormat="1" ht="13.5">
      <c r="C168" s="287" t="s">
        <v>1205</v>
      </c>
      <c r="D168" s="287" t="s">
        <v>1206</v>
      </c>
      <c r="E168" s="287" t="str">
        <f>GEL!D230</f>
        <v>DDRSS_DDRPHY_DX4GCR2</v>
      </c>
      <c r="F168" s="287" t="str">
        <f>GEL!F230</f>
        <v>0xAAAA0000</v>
      </c>
      <c r="G168" s="287" t="str">
        <f t="shared" si="3"/>
        <v>#define DDRPHY_DX4GCR2 0xAAAA0000</v>
      </c>
    </row>
    <row r="169" spans="3:7" s="287" customFormat="1" ht="13.5">
      <c r="C169" s="287" t="s">
        <v>1205</v>
      </c>
      <c r="D169" s="287" t="s">
        <v>1206</v>
      </c>
      <c r="E169" s="287" t="str">
        <f>GEL!D231</f>
        <v xml:space="preserve">DDRSS_DDRPHY_DX4GCR3 </v>
      </c>
      <c r="F169" s="287" t="str">
        <f>GEL!F231</f>
        <v>0xFFE18587</v>
      </c>
      <c r="G169" s="287" t="str">
        <f t="shared" si="3"/>
        <v>#define DDRPHY_DX4GCR3  0xFFE18587</v>
      </c>
    </row>
    <row r="170" spans="3:7" s="287" customFormat="1" ht="13.5">
      <c r="C170" s="287" t="s">
        <v>1205</v>
      </c>
      <c r="D170" s="287" t="s">
        <v>1206</v>
      </c>
      <c r="E170" s="287" t="str">
        <f>GEL!D235</f>
        <v>DDRSS_DDRPHY_DX0GCR4</v>
      </c>
      <c r="F170" s="287" t="str">
        <f>GEL!F235</f>
        <v>0x0E00B03C</v>
      </c>
      <c r="G170" s="287" t="str">
        <f t="shared" si="3"/>
        <v>#define DDRPHY_DX0GCR4 0x0E00B03C</v>
      </c>
    </row>
    <row r="171" spans="3:7" s="287" customFormat="1" ht="13.5">
      <c r="C171" s="287" t="s">
        <v>1205</v>
      </c>
      <c r="D171" s="287" t="s">
        <v>1206</v>
      </c>
      <c r="E171" s="287" t="str">
        <f>GEL!D236</f>
        <v>DDRSS_DDRPHY_DX1GCR4</v>
      </c>
      <c r="F171" s="287" t="str">
        <f>GEL!F236</f>
        <v>0x0E00B03C</v>
      </c>
      <c r="G171" s="287" t="str">
        <f t="shared" si="3"/>
        <v>#define DDRPHY_DX1GCR4 0x0E00B03C</v>
      </c>
    </row>
    <row r="172" spans="3:7" s="287" customFormat="1" ht="13.5">
      <c r="C172" s="287" t="s">
        <v>1205</v>
      </c>
      <c r="D172" s="287" t="s">
        <v>1206</v>
      </c>
      <c r="E172" s="287" t="str">
        <f>GEL!D237</f>
        <v>DDRSS_DDRPHY_DX2GCR4</v>
      </c>
      <c r="F172" s="287" t="str">
        <f>GEL!F237</f>
        <v>0x0E00B03C</v>
      </c>
      <c r="G172" s="287" t="str">
        <f t="shared" si="3"/>
        <v>#define DDRPHY_DX2GCR4 0x0E00B03C</v>
      </c>
    </row>
    <row r="173" spans="3:7" s="287" customFormat="1" ht="13.5">
      <c r="C173" s="287" t="s">
        <v>1205</v>
      </c>
      <c r="D173" s="287" t="s">
        <v>1206</v>
      </c>
      <c r="E173" s="287" t="str">
        <f>GEL!D238</f>
        <v>DDRSS_DDRPHY_DX3GCR4</v>
      </c>
      <c r="F173" s="287" t="str">
        <f>GEL!F238</f>
        <v>0x0E00B03C</v>
      </c>
      <c r="G173" s="287" t="str">
        <f t="shared" si="3"/>
        <v>#define DDRPHY_DX3GCR4 0x0E00B03C</v>
      </c>
    </row>
    <row r="174" spans="3:7" s="287" customFormat="1" ht="13.5">
      <c r="C174" s="287" t="s">
        <v>1205</v>
      </c>
      <c r="D174" s="287" t="s">
        <v>1206</v>
      </c>
      <c r="E174" s="287" t="str">
        <f>GEL!D239</f>
        <v>DDRSS_DDRPHY_DX4GCR4</v>
      </c>
      <c r="F174" s="287" t="str">
        <f>GEL!F239</f>
        <v>0x0E00B03C</v>
      </c>
      <c r="G174" s="287" t="str">
        <f t="shared" si="3"/>
        <v>#define DDRPHY_DX4GCR4 0x0E00B03C</v>
      </c>
    </row>
    <row r="175" spans="3:7" s="287" customFormat="1" ht="13.5">
      <c r="C175" s="287" t="s">
        <v>1205</v>
      </c>
      <c r="D175" s="287" t="s">
        <v>1206</v>
      </c>
      <c r="E175" s="287" t="str">
        <f>GEL!D242</f>
        <v>DDRSS_DDRPHY_PGCR5</v>
      </c>
      <c r="F175" s="287" t="str">
        <f>GEL!F242</f>
        <v>0x01010004</v>
      </c>
      <c r="G175" s="287" t="str">
        <f t="shared" si="3"/>
        <v>#define DDRPHY_PGCR5 0x01010004</v>
      </c>
    </row>
    <row r="176" spans="3:7" s="287" customFormat="1" ht="13.5">
      <c r="C176" s="287" t="s">
        <v>1205</v>
      </c>
      <c r="D176" s="287" t="s">
        <v>1206</v>
      </c>
      <c r="E176" s="287" t="str">
        <f>GEL!D243</f>
        <v>DDRSS_DDRPHY_DX0GCR5</v>
      </c>
      <c r="F176" s="287" t="str">
        <f>GEL!F243</f>
        <v>0x00000049</v>
      </c>
      <c r="G176" s="287" t="str">
        <f t="shared" si="3"/>
        <v>#define DDRPHY_DX0GCR5 0x00000049</v>
      </c>
    </row>
    <row r="177" spans="3:7" s="287" customFormat="1" ht="13.5">
      <c r="C177" s="287" t="s">
        <v>1205</v>
      </c>
      <c r="D177" s="287" t="s">
        <v>1206</v>
      </c>
      <c r="E177" s="287" t="str">
        <f>GEL!D244</f>
        <v>DDRSS_DDRPHY_DX1GCR5</v>
      </c>
      <c r="F177" s="287" t="str">
        <f>GEL!F244</f>
        <v>0x00000049</v>
      </c>
      <c r="G177" s="287" t="str">
        <f t="shared" si="3"/>
        <v>#define DDRPHY_DX1GCR5 0x00000049</v>
      </c>
    </row>
    <row r="178" spans="3:7" s="287" customFormat="1" ht="13.5">
      <c r="C178" s="287" t="s">
        <v>1205</v>
      </c>
      <c r="D178" s="287" t="s">
        <v>1206</v>
      </c>
      <c r="E178" s="287" t="str">
        <f>GEL!D245</f>
        <v>DDRSS_DDRPHY_DX2GCR5</v>
      </c>
      <c r="F178" s="287" t="str">
        <f>GEL!F245</f>
        <v>0x00000049</v>
      </c>
      <c r="G178" s="287" t="str">
        <f t="shared" ref="G178:G195" si="4">CONCATENATE(C178,D178," ",MID(E178,7,LEN(E178)-6)," ",F178)</f>
        <v>#define DDRPHY_DX2GCR5 0x00000049</v>
      </c>
    </row>
    <row r="179" spans="3:7" s="287" customFormat="1" ht="13.5">
      <c r="C179" s="287" t="s">
        <v>1205</v>
      </c>
      <c r="D179" s="287" t="s">
        <v>1206</v>
      </c>
      <c r="E179" s="287" t="str">
        <f>GEL!D246</f>
        <v>DDRSS_DDRPHY_DX3GCR5</v>
      </c>
      <c r="F179" s="287" t="str">
        <f>GEL!F246</f>
        <v>0x00000049</v>
      </c>
      <c r="G179" s="287" t="str">
        <f t="shared" si="4"/>
        <v>#define DDRPHY_DX3GCR5 0x00000049</v>
      </c>
    </row>
    <row r="180" spans="3:7" s="287" customFormat="1" ht="13.5">
      <c r="C180" s="287" t="s">
        <v>1205</v>
      </c>
      <c r="D180" s="287" t="s">
        <v>1206</v>
      </c>
      <c r="E180" s="287" t="str">
        <f>GEL!D247</f>
        <v>DDRSS_DDRPHY_DX4GCR5</v>
      </c>
      <c r="F180" s="287" t="str">
        <f>GEL!F247</f>
        <v>0x00000049</v>
      </c>
      <c r="G180" s="287" t="str">
        <f t="shared" si="4"/>
        <v>#define DDRPHY_DX4GCR5 0x00000049</v>
      </c>
    </row>
    <row r="181" spans="3:7" s="287" customFormat="1" ht="13.5">
      <c r="C181" s="287" t="s">
        <v>1205</v>
      </c>
      <c r="D181" s="287" t="s">
        <v>1206</v>
      </c>
      <c r="E181" s="287" t="str">
        <f>GEL!D250</f>
        <v>DDRSS_DDRPHY_DX0GTR0</v>
      </c>
      <c r="F181" s="287" t="str">
        <f>GEL!F250</f>
        <v>0x00020002</v>
      </c>
      <c r="G181" s="287" t="str">
        <f t="shared" si="4"/>
        <v>#define DDRPHY_DX0GTR0 0x00020002</v>
      </c>
    </row>
    <row r="182" spans="3:7" s="287" customFormat="1" ht="13.5">
      <c r="C182" s="287" t="s">
        <v>1205</v>
      </c>
      <c r="D182" s="287" t="s">
        <v>1206</v>
      </c>
      <c r="E182" s="287" t="str">
        <f>GEL!D251</f>
        <v>DDRSS_DDRPHY_DX1GTR0</v>
      </c>
      <c r="F182" s="287" t="str">
        <f>GEL!F251</f>
        <v>0x00020002</v>
      </c>
      <c r="G182" s="287" t="str">
        <f t="shared" si="4"/>
        <v>#define DDRPHY_DX1GTR0 0x00020002</v>
      </c>
    </row>
    <row r="183" spans="3:7" s="287" customFormat="1" ht="13.5">
      <c r="C183" s="287" t="s">
        <v>1205</v>
      </c>
      <c r="D183" s="287" t="s">
        <v>1206</v>
      </c>
      <c r="E183" s="287" t="str">
        <f>GEL!D252</f>
        <v>DDRSS_DDRPHY_DX2GTR0</v>
      </c>
      <c r="F183" s="287" t="str">
        <f>GEL!F252</f>
        <v>0x00020002</v>
      </c>
      <c r="G183" s="287" t="str">
        <f t="shared" si="4"/>
        <v>#define DDRPHY_DX2GTR0 0x00020002</v>
      </c>
    </row>
    <row r="184" spans="3:7" s="287" customFormat="1" ht="13.5">
      <c r="C184" s="287" t="s">
        <v>1205</v>
      </c>
      <c r="D184" s="287" t="s">
        <v>1206</v>
      </c>
      <c r="E184" s="287" t="str">
        <f>GEL!D253</f>
        <v>DDRSS_DDRPHY_DX3GTR0</v>
      </c>
      <c r="F184" s="287" t="str">
        <f>GEL!F253</f>
        <v>0x00020002</v>
      </c>
      <c r="G184" s="287" t="str">
        <f t="shared" si="4"/>
        <v>#define DDRPHY_DX3GTR0 0x00020002</v>
      </c>
    </row>
    <row r="185" spans="3:7" s="287" customFormat="1" ht="13.5">
      <c r="C185" s="287" t="s">
        <v>1205</v>
      </c>
      <c r="D185" s="287" t="s">
        <v>1206</v>
      </c>
      <c r="E185" s="287" t="str">
        <f>GEL!D254</f>
        <v>DDRSS_DDRPHY_DX4GTR0</v>
      </c>
      <c r="F185" s="287" t="str">
        <f>GEL!F254</f>
        <v>0x00020002</v>
      </c>
      <c r="G185" s="287" t="str">
        <f t="shared" si="4"/>
        <v>#define DDRPHY_DX4GTR0 0x00020002</v>
      </c>
    </row>
    <row r="186" spans="3:7" s="287" customFormat="1" ht="13.5">
      <c r="C186" s="287" t="s">
        <v>1205</v>
      </c>
      <c r="D186" s="287" t="s">
        <v>1206</v>
      </c>
      <c r="E186" s="287" t="str">
        <f>GEL!D255</f>
        <v>DDRSS_DDRPHY_ODTCR</v>
      </c>
      <c r="F186" s="287" t="str">
        <f>GEL!F255</f>
        <v>0x00010000</v>
      </c>
      <c r="G186" s="287" t="str">
        <f t="shared" si="4"/>
        <v>#define DDRPHY_ODTCR 0x00010000</v>
      </c>
    </row>
    <row r="187" spans="3:7" s="287" customFormat="1" ht="13.5">
      <c r="C187" s="287" t="s">
        <v>1205</v>
      </c>
      <c r="D187" s="287" t="s">
        <v>1206</v>
      </c>
      <c r="E187" s="287" t="str">
        <f>GEL!D265</f>
        <v>DDRSS_DDRPHY_DX8SL0IOCR</v>
      </c>
      <c r="F187" s="287" t="str">
        <f>GEL!F265</f>
        <v>0x74800000</v>
      </c>
      <c r="G187" s="287" t="str">
        <f t="shared" si="4"/>
        <v>#define DDRPHY_DX8SL0IOCR 0x74800000</v>
      </c>
    </row>
    <row r="188" spans="3:7" s="287" customFormat="1" ht="13.5">
      <c r="C188" s="287" t="s">
        <v>1205</v>
      </c>
      <c r="D188" s="287" t="s">
        <v>1206</v>
      </c>
      <c r="E188" s="287" t="str">
        <f>GEL!D266</f>
        <v>DDRSS_DDRPHY_DX8SL1IOCR</v>
      </c>
      <c r="F188" s="287" t="str">
        <f>GEL!F266</f>
        <v>0x74800000</v>
      </c>
      <c r="G188" s="287" t="str">
        <f t="shared" si="4"/>
        <v>#define DDRPHY_DX8SL1IOCR 0x74800000</v>
      </c>
    </row>
    <row r="189" spans="3:7" s="287" customFormat="1" ht="13.5">
      <c r="C189" s="287" t="s">
        <v>1205</v>
      </c>
      <c r="D189" s="287" t="s">
        <v>1206</v>
      </c>
      <c r="E189" s="287" t="str">
        <f>GEL!D267</f>
        <v>DDRSS_DDRPHY_DX8SL2IOCR</v>
      </c>
      <c r="F189" s="287" t="str">
        <f>GEL!F267</f>
        <v>0x74800000</v>
      </c>
      <c r="G189" s="287" t="str">
        <f t="shared" si="4"/>
        <v>#define DDRPHY_DX8SL2IOCR 0x74800000</v>
      </c>
    </row>
    <row r="190" spans="3:7" s="287" customFormat="1" ht="13.5">
      <c r="C190" s="287" t="s">
        <v>1205</v>
      </c>
      <c r="D190" s="287" t="s">
        <v>1206</v>
      </c>
      <c r="E190" s="287" t="str">
        <f>GEL!D270</f>
        <v>DDRSS_DDRPHY_DX8SL0DXCTL2</v>
      </c>
      <c r="F190" s="287" t="str">
        <f>GEL!F270</f>
        <v>0x00141830</v>
      </c>
      <c r="G190" s="287" t="str">
        <f t="shared" si="4"/>
        <v>#define DDRPHY_DX8SL0DXCTL2 0x00141830</v>
      </c>
    </row>
    <row r="191" spans="3:7" s="287" customFormat="1" ht="13.5">
      <c r="C191" s="287" t="s">
        <v>1205</v>
      </c>
      <c r="D191" s="287" t="s">
        <v>1206</v>
      </c>
      <c r="E191" s="287" t="str">
        <f>GEL!D271</f>
        <v>DDRSS_DDRPHY_DX8SL1DXCTL2</v>
      </c>
      <c r="F191" s="287" t="str">
        <f>GEL!F271</f>
        <v>0x00141830</v>
      </c>
      <c r="G191" s="287" t="str">
        <f t="shared" si="4"/>
        <v>#define DDRPHY_DX8SL1DXCTL2 0x00141830</v>
      </c>
    </row>
    <row r="192" spans="3:7" s="287" customFormat="1" ht="13.5">
      <c r="C192" s="287" t="s">
        <v>1205</v>
      </c>
      <c r="D192" s="287" t="s">
        <v>1206</v>
      </c>
      <c r="E192" s="287" t="str">
        <f>GEL!D272</f>
        <v>DDRSS_DDRPHY_DX8SL2DXCTL2</v>
      </c>
      <c r="F192" s="287" t="str">
        <f>GEL!F272</f>
        <v>0x00141830</v>
      </c>
      <c r="G192" s="287" t="str">
        <f t="shared" si="4"/>
        <v>#define DDRPHY_DX8SL2DXCTL2 0x00141830</v>
      </c>
    </row>
    <row r="193" spans="3:7" s="287" customFormat="1" ht="13.5">
      <c r="C193" s="287" t="s">
        <v>1205</v>
      </c>
      <c r="D193" s="287" t="s">
        <v>1206</v>
      </c>
      <c r="E193" s="287" t="str">
        <f>GEL!D274</f>
        <v>DDRSS_DDRPHY_DX8SL0DQSCTL</v>
      </c>
      <c r="F193" s="287" t="str">
        <f>GEL!F274</f>
        <v>0x01264300</v>
      </c>
      <c r="G193" s="287" t="str">
        <f t="shared" si="4"/>
        <v>#define DDRPHY_DX8SL0DQSCTL 0x01264300</v>
      </c>
    </row>
    <row r="194" spans="3:7" s="287" customFormat="1" ht="13.5">
      <c r="C194" s="287" t="s">
        <v>1205</v>
      </c>
      <c r="D194" s="287" t="s">
        <v>1206</v>
      </c>
      <c r="E194" s="287" t="str">
        <f>GEL!D275</f>
        <v>DDRSS_DDRPHY_DX8SL1DQSCTL</v>
      </c>
      <c r="F194" s="287" t="str">
        <f>GEL!F275</f>
        <v>0x01264300</v>
      </c>
      <c r="G194" s="287" t="str">
        <f t="shared" si="4"/>
        <v>#define DDRPHY_DX8SL1DQSCTL 0x01264300</v>
      </c>
    </row>
    <row r="195" spans="3:7" s="287" customFormat="1" ht="13.5">
      <c r="C195" s="287" t="s">
        <v>1205</v>
      </c>
      <c r="D195" s="287" t="s">
        <v>1206</v>
      </c>
      <c r="E195" s="287" t="str">
        <f>GEL!D276</f>
        <v>DDRSS_DDRPHY_DX8SL2DQSCTL</v>
      </c>
      <c r="F195" s="287" t="str">
        <f>GEL!F276</f>
        <v>0x01264300</v>
      </c>
      <c r="G195" s="287" t="str">
        <f t="shared" si="4"/>
        <v>#define DDRPHY_DX8SL2DQSCTL 0x01264300</v>
      </c>
    </row>
    <row r="196" spans="3:7" s="287" customFormat="1" ht="13.5"/>
    <row r="197" spans="3:7" s="287" customFormat="1" ht="13.5"/>
    <row r="198" spans="3:7" s="287" customFormat="1" ht="13.5"/>
    <row r="199" spans="3:7" s="287" customFormat="1" ht="13.5"/>
    <row r="256" spans="25:25">
      <c r="Y256" s="132" t="s">
        <v>336</v>
      </c>
    </row>
    <row r="262" spans="24:25">
      <c r="Y262" s="132" t="s">
        <v>336</v>
      </c>
    </row>
    <row r="266" spans="24:25">
      <c r="Y266" s="132" t="s">
        <v>336</v>
      </c>
    </row>
    <row r="269" spans="24:25">
      <c r="X269" s="132" t="s">
        <v>337</v>
      </c>
    </row>
  </sheetData>
  <sheetProtection password="8E0D" sheet="1" objects="1" scenarios="1"/>
  <phoneticPr fontId="59" type="noConversion"/>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Button 1">
              <controlPr defaultSize="0" print="0" autoFill="0" autoPict="0" macro="[0]!ExportRangetoFile_RTOS" altText="Export RTOS .h">
                <anchor moveWithCells="1" sizeWithCells="1">
                  <from>
                    <xdr:col>3</xdr:col>
                    <xdr:colOff>419100</xdr:colOff>
                    <xdr:row>2</xdr:row>
                    <xdr:rowOff>19050</xdr:rowOff>
                  </from>
                  <to>
                    <xdr:col>4</xdr:col>
                    <xdr:colOff>1619250</xdr:colOff>
                    <xdr:row>3</xdr:row>
                    <xdr:rowOff>85725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92D050"/>
  </sheetPr>
  <dimension ref="B2:R345"/>
  <sheetViews>
    <sheetView workbookViewId="0">
      <pane ySplit="9" topLeftCell="A10" activePane="bottomLeft" state="frozen"/>
      <selection pane="bottomLeft" activeCell="E4" sqref="E4"/>
    </sheetView>
  </sheetViews>
  <sheetFormatPr defaultRowHeight="12.75"/>
  <cols>
    <col min="2" max="2" width="10.140625" customWidth="1"/>
    <col min="3" max="3" width="18.28515625" customWidth="1"/>
    <col min="4" max="4" width="32" customWidth="1"/>
    <col min="5" max="5" width="17.7109375" style="381" customWidth="1"/>
    <col min="6" max="6" width="41.140625" style="381" customWidth="1"/>
    <col min="7" max="7" width="10.85546875" style="381" customWidth="1"/>
    <col min="8" max="8" width="11.28515625" customWidth="1"/>
    <col min="9" max="9" width="43.7109375" customWidth="1"/>
    <col min="10" max="10" width="35.5703125" customWidth="1"/>
    <col min="11" max="11" width="58.85546875" customWidth="1"/>
    <col min="12" max="12" width="32.28515625" customWidth="1"/>
    <col min="13" max="13" width="59.5703125" customWidth="1"/>
    <col min="14" max="14" width="34.42578125" customWidth="1"/>
    <col min="15" max="16" width="22.5703125" customWidth="1"/>
    <col min="18" max="18" width="13.85546875" customWidth="1"/>
    <col min="19" max="19" width="8.140625" customWidth="1"/>
  </cols>
  <sheetData>
    <row r="2" spans="2:13" ht="13.5" thickBot="1">
      <c r="D2" s="399"/>
      <c r="E2" s="399"/>
    </row>
    <row r="3" spans="2:13" ht="18.75" thickTop="1">
      <c r="C3" s="402" t="s">
        <v>2314</v>
      </c>
      <c r="D3" s="403"/>
      <c r="E3" s="400"/>
      <c r="F3" s="398"/>
      <c r="G3" s="384" t="s">
        <v>2287</v>
      </c>
      <c r="H3" s="384" t="s">
        <v>2291</v>
      </c>
      <c r="I3" s="384" t="s">
        <v>2288</v>
      </c>
      <c r="J3" s="384" t="s">
        <v>2292</v>
      </c>
      <c r="K3" s="384" t="s">
        <v>1085</v>
      </c>
      <c r="L3" s="384" t="s">
        <v>42</v>
      </c>
      <c r="M3" s="384" t="s">
        <v>2313</v>
      </c>
    </row>
    <row r="4" spans="2:13">
      <c r="C4" s="404" t="s">
        <v>2315</v>
      </c>
      <c r="D4" s="405" t="str">
        <f>VLOOKUP(F4,$I$14:$J$345,2,FALSE)</f>
        <v xml:space="preserve">DWC_D5MC4_34_SR11 </v>
      </c>
      <c r="E4" s="401"/>
      <c r="F4" s="396" t="str">
        <f>CONCATENATE(G4,"_",H4,"_",I4,"_",J4,"_",K4,"_",L4,"_",M4)</f>
        <v>DDR4_Clock_Driver_11_34.3_NA_NA</v>
      </c>
      <c r="G4" s="381" t="str">
        <f t="shared" ref="G4:G9" si="0">Memory_Type</f>
        <v>DDR4</v>
      </c>
      <c r="H4" s="381" t="s">
        <v>1550</v>
      </c>
      <c r="I4" s="381" t="s">
        <v>2289</v>
      </c>
      <c r="J4" s="385" t="str">
        <f>IF(AM65x_AC_Slew="Slow_Mode","00",IF(AM65x_AC_Slew="Medium_Slow_Mode","01",IF(AM65x_AC_Slew="Medium_Fast_Mode","10",IF(AM65x_AC_Slew="Fast_Mode","11","ERROR"))))</f>
        <v>11</v>
      </c>
      <c r="K4" s="381">
        <f>AM65x_Ron_AC_value</f>
        <v>34.299999999999997</v>
      </c>
      <c r="L4" s="397" t="s">
        <v>117</v>
      </c>
      <c r="M4" s="397" t="s">
        <v>117</v>
      </c>
    </row>
    <row r="5" spans="2:13">
      <c r="C5" s="404" t="s">
        <v>2316</v>
      </c>
      <c r="D5" s="405" t="str">
        <f t="shared" ref="D5:D9" si="1">VLOOKUP(F5,$I$14:$J$345,2,FALSE)</f>
        <v xml:space="preserve">DWC_D5MP4_34_SR11    </v>
      </c>
      <c r="E5" s="401"/>
      <c r="F5" s="396" t="str">
        <f t="shared" ref="F5:F9" si="2">CONCATENATE(G5,"_",H5,"_",I5,"_",J5,"_",K5,"_",L5,"_",M5)</f>
        <v>DDR4_Data_ACC_Driver_11_34.3_NA_NA</v>
      </c>
      <c r="G5" s="381" t="str">
        <f t="shared" si="0"/>
        <v>DDR4</v>
      </c>
      <c r="H5" s="384" t="s">
        <v>2323</v>
      </c>
      <c r="I5" s="384" t="s">
        <v>2289</v>
      </c>
      <c r="J5" s="385" t="str">
        <f>IF(AM65x_AC_Slew="Slow_Mode","00",IF(AM65x_AC_Slew="Medium_Slow_Mode","01",IF(AM65x_AC_Slew="Medium_Fast_Mode","10",IF(AM65x_AC_Slew="Fast_Mode","11","ERROR"))))</f>
        <v>11</v>
      </c>
      <c r="K5" s="381">
        <f>AM65x_Ron_AC_value</f>
        <v>34.299999999999997</v>
      </c>
      <c r="L5" s="384" t="s">
        <v>117</v>
      </c>
      <c r="M5" s="384" t="s">
        <v>117</v>
      </c>
    </row>
    <row r="6" spans="2:13">
      <c r="C6" s="404" t="s">
        <v>2317</v>
      </c>
      <c r="D6" s="405" t="str">
        <f t="shared" si="1"/>
        <v xml:space="preserve">DWC_D5MP4_34ODT60    </v>
      </c>
      <c r="E6" s="401"/>
      <c r="F6" s="396" t="str">
        <f t="shared" si="2"/>
        <v>DDR4_Data_ACC_Receiver_NA_NA_60_NONE</v>
      </c>
      <c r="G6" s="381" t="str">
        <f t="shared" si="0"/>
        <v>DDR4</v>
      </c>
      <c r="H6" s="384" t="s">
        <v>2323</v>
      </c>
      <c r="I6" s="384" t="s">
        <v>2290</v>
      </c>
      <c r="J6" s="385" t="s">
        <v>117</v>
      </c>
      <c r="K6" s="384" t="s">
        <v>117</v>
      </c>
      <c r="L6" s="381">
        <f>AM65x_Rtt_value</f>
        <v>60</v>
      </c>
      <c r="M6" s="384" t="s">
        <v>2312</v>
      </c>
    </row>
    <row r="7" spans="2:13">
      <c r="C7" s="404" t="s">
        <v>2318</v>
      </c>
      <c r="D7" s="405" t="str">
        <f t="shared" si="1"/>
        <v xml:space="preserve">DWC_D5MP4_48_SR11    </v>
      </c>
      <c r="E7" s="401"/>
      <c r="F7" s="396" t="str">
        <f t="shared" si="2"/>
        <v>DDR4_Data_ACC_Driver_11_48_NA_NA</v>
      </c>
      <c r="G7" s="381" t="str">
        <f t="shared" si="0"/>
        <v>DDR4</v>
      </c>
      <c r="H7" s="384" t="s">
        <v>2323</v>
      </c>
      <c r="I7" s="384" t="s">
        <v>2289</v>
      </c>
      <c r="J7" s="385" t="str">
        <f>IF(AM65x_DQ_Slew="Slow_Mode","00",IF(AM65x_DQ_Slew="Medium_Slow_Mode","01",IF(AM65x_DQ_Slew="Medium_Fast_Mode","10",IF(AM65x_DQ_Slew="Fast_Mode","11","ERROR"))))</f>
        <v>11</v>
      </c>
      <c r="K7" s="381">
        <f>AM65x_Ron_DQ_value</f>
        <v>48</v>
      </c>
      <c r="L7" s="384" t="s">
        <v>117</v>
      </c>
      <c r="M7" s="384" t="s">
        <v>117</v>
      </c>
    </row>
    <row r="8" spans="2:13">
      <c r="C8" s="404" t="s">
        <v>2319</v>
      </c>
      <c r="D8" s="405" t="str">
        <f t="shared" si="1"/>
        <v xml:space="preserve">DWC_D5MQ4_34ODT60       </v>
      </c>
      <c r="E8" s="401"/>
      <c r="F8" s="396" t="str">
        <f t="shared" si="2"/>
        <v>DDR4_DQS_Receiver_NA_NA_60_NONE</v>
      </c>
      <c r="G8" s="381" t="str">
        <f t="shared" si="0"/>
        <v>DDR4</v>
      </c>
      <c r="H8" s="384" t="s">
        <v>1551</v>
      </c>
      <c r="I8" s="384" t="s">
        <v>2290</v>
      </c>
      <c r="J8" s="385" t="s">
        <v>117</v>
      </c>
      <c r="K8" s="384" t="s">
        <v>117</v>
      </c>
      <c r="L8" s="381">
        <f>AM65x_Rtt_value</f>
        <v>60</v>
      </c>
      <c r="M8" s="384" t="s">
        <v>2312</v>
      </c>
    </row>
    <row r="9" spans="2:13" ht="13.5" thickBot="1">
      <c r="C9" s="406" t="s">
        <v>2320</v>
      </c>
      <c r="D9" s="407" t="str">
        <f t="shared" si="1"/>
        <v xml:space="preserve">DWC_D5MQ4_48_SR11       </v>
      </c>
      <c r="E9" s="401"/>
      <c r="F9" s="396" t="str">
        <f t="shared" si="2"/>
        <v>DDR4_DQS_Driver_11_48_NA_NA</v>
      </c>
      <c r="G9" s="381" t="str">
        <f t="shared" si="0"/>
        <v>DDR4</v>
      </c>
      <c r="H9" s="384" t="s">
        <v>1551</v>
      </c>
      <c r="I9" s="384" t="s">
        <v>2289</v>
      </c>
      <c r="J9" s="385" t="str">
        <f>IF(AM65x_DQ_Slew="Slow_Mode","00",IF(AM65x_DQ_Slew="Medium_Slow_Mode","01",IF(AM65x_DQ_Slew="Medium_Fast_Mode","10",IF(AM65x_DQ_Slew="Fast_Mode","11","ERROR"))))</f>
        <v>11</v>
      </c>
      <c r="K9" s="381">
        <f>AM65x_Ron_DQ_value</f>
        <v>48</v>
      </c>
      <c r="L9" s="384" t="s">
        <v>117</v>
      </c>
      <c r="M9" s="384" t="s">
        <v>117</v>
      </c>
    </row>
    <row r="10" spans="2:13" ht="13.5" thickTop="1"/>
    <row r="13" spans="2:13">
      <c r="B13" t="s">
        <v>2287</v>
      </c>
      <c r="C13" t="s">
        <v>2291</v>
      </c>
      <c r="D13" t="s">
        <v>2288</v>
      </c>
      <c r="E13" s="381" t="s">
        <v>2292</v>
      </c>
      <c r="F13" s="386" t="s">
        <v>1085</v>
      </c>
      <c r="G13" s="384" t="s">
        <v>42</v>
      </c>
      <c r="H13" t="s">
        <v>2313</v>
      </c>
      <c r="I13" s="383" t="s">
        <v>2321</v>
      </c>
      <c r="J13" s="383" t="s">
        <v>2322</v>
      </c>
      <c r="K13" s="383" t="s">
        <v>24</v>
      </c>
      <c r="L13" t="s">
        <v>2303</v>
      </c>
      <c r="M13" s="383" t="s">
        <v>24</v>
      </c>
    </row>
    <row r="14" spans="2:13">
      <c r="B14" t="s">
        <v>153</v>
      </c>
      <c r="C14" t="s">
        <v>1550</v>
      </c>
      <c r="D14" t="s">
        <v>2289</v>
      </c>
      <c r="E14" s="382" t="s">
        <v>2293</v>
      </c>
      <c r="F14" s="381">
        <v>34.299999999999997</v>
      </c>
      <c r="G14" s="384" t="s">
        <v>117</v>
      </c>
      <c r="H14" t="s">
        <v>117</v>
      </c>
      <c r="I14" t="str">
        <f>CONCATENATE(B14,"_",C14,"_",D14,"_",E14,"_",F14,"_",G14,"_",H14)</f>
        <v>DDR4_Clock_Driver_00_34.3_NA_NA</v>
      </c>
      <c r="J14" t="s">
        <v>1568</v>
      </c>
      <c r="K14" t="s">
        <v>1576</v>
      </c>
    </row>
    <row r="15" spans="2:13">
      <c r="B15" t="s">
        <v>153</v>
      </c>
      <c r="C15" t="s">
        <v>1550</v>
      </c>
      <c r="D15" t="s">
        <v>2289</v>
      </c>
      <c r="E15" s="382" t="s">
        <v>2294</v>
      </c>
      <c r="F15" s="381">
        <v>34.299999999999997</v>
      </c>
      <c r="G15" s="384" t="s">
        <v>117</v>
      </c>
      <c r="H15" t="s">
        <v>117</v>
      </c>
      <c r="I15" t="str">
        <f t="shared" ref="I15:I78" si="3">CONCATENATE(B15,"_",C15,"_",D15,"_",E15,"_",F15,"_",G15,"_",H15)</f>
        <v>DDR4_Clock_Driver_01_34.3_NA_NA</v>
      </c>
      <c r="J15" t="s">
        <v>1569</v>
      </c>
      <c r="K15" t="s">
        <v>1577</v>
      </c>
    </row>
    <row r="16" spans="2:13">
      <c r="B16" t="s">
        <v>153</v>
      </c>
      <c r="C16" t="s">
        <v>1550</v>
      </c>
      <c r="D16" t="s">
        <v>2289</v>
      </c>
      <c r="E16" s="382" t="s">
        <v>2295</v>
      </c>
      <c r="F16" s="381">
        <v>34.299999999999997</v>
      </c>
      <c r="G16" s="384" t="s">
        <v>117</v>
      </c>
      <c r="H16" t="s">
        <v>117</v>
      </c>
      <c r="I16" t="str">
        <f t="shared" si="3"/>
        <v>DDR4_Clock_Driver_10_34.3_NA_NA</v>
      </c>
      <c r="J16" t="s">
        <v>1570</v>
      </c>
      <c r="K16" t="s">
        <v>1578</v>
      </c>
    </row>
    <row r="17" spans="2:18">
      <c r="B17" t="s">
        <v>153</v>
      </c>
      <c r="C17" t="s">
        <v>1550</v>
      </c>
      <c r="D17" t="s">
        <v>2289</v>
      </c>
      <c r="E17" s="382" t="s">
        <v>2296</v>
      </c>
      <c r="F17" s="381">
        <v>34.299999999999997</v>
      </c>
      <c r="G17" s="384" t="s">
        <v>117</v>
      </c>
      <c r="H17" t="s">
        <v>117</v>
      </c>
      <c r="I17" t="str">
        <f t="shared" si="3"/>
        <v>DDR4_Clock_Driver_11_34.3_NA_NA</v>
      </c>
      <c r="J17" t="s">
        <v>1571</v>
      </c>
      <c r="K17" t="s">
        <v>1579</v>
      </c>
    </row>
    <row r="18" spans="2:18">
      <c r="B18" t="s">
        <v>153</v>
      </c>
      <c r="C18" t="s">
        <v>1550</v>
      </c>
      <c r="D18" t="s">
        <v>2289</v>
      </c>
      <c r="E18" s="382" t="s">
        <v>2293</v>
      </c>
      <c r="F18" s="381">
        <v>48</v>
      </c>
      <c r="G18" s="384" t="s">
        <v>117</v>
      </c>
      <c r="H18" t="s">
        <v>117</v>
      </c>
      <c r="I18" t="str">
        <f t="shared" si="3"/>
        <v>DDR4_Clock_Driver_00_48_NA_NA</v>
      </c>
      <c r="J18" t="s">
        <v>1572</v>
      </c>
      <c r="K18" t="s">
        <v>1580</v>
      </c>
      <c r="P18" s="387"/>
      <c r="Q18" s="388"/>
      <c r="R18" s="389"/>
    </row>
    <row r="19" spans="2:18">
      <c r="B19" t="s">
        <v>153</v>
      </c>
      <c r="C19" t="s">
        <v>1550</v>
      </c>
      <c r="D19" t="s">
        <v>2289</v>
      </c>
      <c r="E19" s="382" t="s">
        <v>2294</v>
      </c>
      <c r="F19" s="381">
        <v>48</v>
      </c>
      <c r="G19" s="384" t="s">
        <v>117</v>
      </c>
      <c r="H19" t="s">
        <v>117</v>
      </c>
      <c r="I19" t="str">
        <f t="shared" si="3"/>
        <v>DDR4_Clock_Driver_01_48_NA_NA</v>
      </c>
      <c r="J19" t="s">
        <v>1573</v>
      </c>
      <c r="K19" t="s">
        <v>1581</v>
      </c>
      <c r="P19" s="390"/>
      <c r="Q19" s="391"/>
      <c r="R19" s="392"/>
    </row>
    <row r="20" spans="2:18">
      <c r="B20" t="s">
        <v>153</v>
      </c>
      <c r="C20" t="s">
        <v>1550</v>
      </c>
      <c r="D20" t="s">
        <v>2289</v>
      </c>
      <c r="E20" s="382" t="s">
        <v>2295</v>
      </c>
      <c r="F20" s="381">
        <v>48</v>
      </c>
      <c r="G20" s="384" t="s">
        <v>117</v>
      </c>
      <c r="H20" t="s">
        <v>117</v>
      </c>
      <c r="I20" t="str">
        <f t="shared" si="3"/>
        <v>DDR4_Clock_Driver_10_48_NA_NA</v>
      </c>
      <c r="J20" t="s">
        <v>1574</v>
      </c>
      <c r="K20" t="s">
        <v>1582</v>
      </c>
      <c r="P20" s="390"/>
      <c r="Q20" s="391"/>
      <c r="R20" s="392"/>
    </row>
    <row r="21" spans="2:18">
      <c r="B21" t="s">
        <v>153</v>
      </c>
      <c r="C21" t="s">
        <v>1550</v>
      </c>
      <c r="D21" t="s">
        <v>2289</v>
      </c>
      <c r="E21" s="382" t="s">
        <v>2296</v>
      </c>
      <c r="F21" s="381">
        <v>48</v>
      </c>
      <c r="G21" s="384" t="s">
        <v>117</v>
      </c>
      <c r="H21" t="s">
        <v>117</v>
      </c>
      <c r="I21" t="str">
        <f t="shared" si="3"/>
        <v>DDR4_Clock_Driver_11_48_NA_NA</v>
      </c>
      <c r="J21" t="s">
        <v>1575</v>
      </c>
      <c r="K21" t="s">
        <v>1583</v>
      </c>
      <c r="P21" s="390"/>
      <c r="Q21" s="391"/>
      <c r="R21" s="392"/>
    </row>
    <row r="22" spans="2:18">
      <c r="B22" t="s">
        <v>153</v>
      </c>
      <c r="C22" t="s">
        <v>2323</v>
      </c>
      <c r="D22" t="s">
        <v>2289</v>
      </c>
      <c r="E22" s="382" t="s">
        <v>2293</v>
      </c>
      <c r="F22" s="381">
        <v>34.299999999999997</v>
      </c>
      <c r="G22" s="384" t="s">
        <v>117</v>
      </c>
      <c r="H22" t="s">
        <v>117</v>
      </c>
      <c r="I22" t="str">
        <f t="shared" si="3"/>
        <v>DDR4_Data_ACC_Driver_00_34.3_NA_NA</v>
      </c>
      <c r="J22" t="s">
        <v>1684</v>
      </c>
      <c r="K22" t="s">
        <v>1773</v>
      </c>
      <c r="P22" s="390"/>
      <c r="Q22" s="391"/>
      <c r="R22" s="392"/>
    </row>
    <row r="23" spans="2:18">
      <c r="B23" t="s">
        <v>153</v>
      </c>
      <c r="C23" t="s">
        <v>2323</v>
      </c>
      <c r="D23" t="s">
        <v>2289</v>
      </c>
      <c r="E23" s="382" t="s">
        <v>2294</v>
      </c>
      <c r="F23" s="381">
        <v>34.299999999999997</v>
      </c>
      <c r="G23" s="384" t="s">
        <v>117</v>
      </c>
      <c r="H23" t="s">
        <v>117</v>
      </c>
      <c r="I23" t="str">
        <f t="shared" si="3"/>
        <v>DDR4_Data_ACC_Driver_01_34.3_NA_NA</v>
      </c>
      <c r="J23" t="s">
        <v>1685</v>
      </c>
      <c r="K23" t="s">
        <v>1774</v>
      </c>
      <c r="P23" s="390"/>
      <c r="Q23" s="391"/>
      <c r="R23" s="392"/>
    </row>
    <row r="24" spans="2:18">
      <c r="B24" t="s">
        <v>153</v>
      </c>
      <c r="C24" t="s">
        <v>2323</v>
      </c>
      <c r="D24" t="s">
        <v>2289</v>
      </c>
      <c r="E24" s="382" t="s">
        <v>2295</v>
      </c>
      <c r="F24" s="381">
        <v>34.299999999999997</v>
      </c>
      <c r="G24" s="384" t="s">
        <v>117</v>
      </c>
      <c r="H24" t="s">
        <v>117</v>
      </c>
      <c r="I24" t="str">
        <f t="shared" si="3"/>
        <v>DDR4_Data_ACC_Driver_10_34.3_NA_NA</v>
      </c>
      <c r="J24" t="s">
        <v>1686</v>
      </c>
      <c r="K24" t="s">
        <v>1775</v>
      </c>
      <c r="P24" s="390"/>
      <c r="Q24" s="391"/>
      <c r="R24" s="392"/>
    </row>
    <row r="25" spans="2:18">
      <c r="B25" t="s">
        <v>153</v>
      </c>
      <c r="C25" t="s">
        <v>2323</v>
      </c>
      <c r="D25" t="s">
        <v>2289</v>
      </c>
      <c r="E25" s="382" t="s">
        <v>2296</v>
      </c>
      <c r="F25" s="381">
        <v>34.299999999999997</v>
      </c>
      <c r="G25" s="384" t="s">
        <v>117</v>
      </c>
      <c r="H25" t="s">
        <v>117</v>
      </c>
      <c r="I25" t="str">
        <f t="shared" si="3"/>
        <v>DDR4_Data_ACC_Driver_11_34.3_NA_NA</v>
      </c>
      <c r="J25" t="s">
        <v>1687</v>
      </c>
      <c r="K25" t="s">
        <v>1776</v>
      </c>
      <c r="P25" s="390"/>
      <c r="Q25" s="391"/>
      <c r="R25" s="392"/>
    </row>
    <row r="26" spans="2:18">
      <c r="B26" t="s">
        <v>153</v>
      </c>
      <c r="C26" t="s">
        <v>2323</v>
      </c>
      <c r="D26" t="s">
        <v>2289</v>
      </c>
      <c r="E26" s="382" t="s">
        <v>2293</v>
      </c>
      <c r="F26" s="381">
        <v>48</v>
      </c>
      <c r="G26" s="384" t="s">
        <v>117</v>
      </c>
      <c r="H26" t="s">
        <v>117</v>
      </c>
      <c r="I26" t="str">
        <f t="shared" si="3"/>
        <v>DDR4_Data_ACC_Driver_00_48_NA_NA</v>
      </c>
      <c r="J26" t="s">
        <v>1688</v>
      </c>
      <c r="K26" t="s">
        <v>1777</v>
      </c>
      <c r="P26" s="390"/>
      <c r="Q26" s="391"/>
      <c r="R26" s="392"/>
    </row>
    <row r="27" spans="2:18">
      <c r="B27" t="s">
        <v>153</v>
      </c>
      <c r="C27" t="s">
        <v>2323</v>
      </c>
      <c r="D27" t="s">
        <v>2289</v>
      </c>
      <c r="E27" s="382" t="s">
        <v>2294</v>
      </c>
      <c r="F27" s="381">
        <v>48</v>
      </c>
      <c r="G27" s="384" t="s">
        <v>117</v>
      </c>
      <c r="H27" t="s">
        <v>117</v>
      </c>
      <c r="I27" t="str">
        <f t="shared" si="3"/>
        <v>DDR4_Data_ACC_Driver_01_48_NA_NA</v>
      </c>
      <c r="J27" t="s">
        <v>1689</v>
      </c>
      <c r="K27" t="s">
        <v>1778</v>
      </c>
      <c r="P27" s="390"/>
      <c r="Q27" s="391"/>
      <c r="R27" s="392"/>
    </row>
    <row r="28" spans="2:18">
      <c r="B28" t="s">
        <v>153</v>
      </c>
      <c r="C28" t="s">
        <v>2323</v>
      </c>
      <c r="D28" t="s">
        <v>2289</v>
      </c>
      <c r="E28" s="382" t="s">
        <v>2295</v>
      </c>
      <c r="F28" s="381">
        <v>48</v>
      </c>
      <c r="G28" s="384" t="s">
        <v>117</v>
      </c>
      <c r="H28" t="s">
        <v>117</v>
      </c>
      <c r="I28" t="str">
        <f t="shared" si="3"/>
        <v>DDR4_Data_ACC_Driver_10_48_NA_NA</v>
      </c>
      <c r="J28" t="s">
        <v>1690</v>
      </c>
      <c r="K28" t="s">
        <v>1779</v>
      </c>
      <c r="P28" s="390"/>
      <c r="Q28" s="391"/>
      <c r="R28" s="392"/>
    </row>
    <row r="29" spans="2:18">
      <c r="B29" t="s">
        <v>153</v>
      </c>
      <c r="C29" t="s">
        <v>2323</v>
      </c>
      <c r="D29" t="s">
        <v>2289</v>
      </c>
      <c r="E29" s="382" t="s">
        <v>2296</v>
      </c>
      <c r="F29" s="381">
        <v>48</v>
      </c>
      <c r="G29" s="384" t="s">
        <v>117</v>
      </c>
      <c r="H29" t="s">
        <v>117</v>
      </c>
      <c r="I29" t="str">
        <f t="shared" si="3"/>
        <v>DDR4_Data_ACC_Driver_11_48_NA_NA</v>
      </c>
      <c r="J29" t="s">
        <v>1691</v>
      </c>
      <c r="K29" t="s">
        <v>1780</v>
      </c>
      <c r="P29" s="390"/>
      <c r="Q29" s="391"/>
      <c r="R29" s="392"/>
    </row>
    <row r="30" spans="2:18">
      <c r="B30" t="s">
        <v>153</v>
      </c>
      <c r="C30" t="s">
        <v>2323</v>
      </c>
      <c r="D30" t="s">
        <v>2290</v>
      </c>
      <c r="E30" s="382" t="s">
        <v>117</v>
      </c>
      <c r="F30" s="384" t="s">
        <v>117</v>
      </c>
      <c r="G30" s="381" t="s">
        <v>1101</v>
      </c>
      <c r="H30" t="s">
        <v>2312</v>
      </c>
      <c r="I30" t="str">
        <f t="shared" si="3"/>
        <v>DDR4_Data_ACC_Receiver_NA_NA_disabled_NONE</v>
      </c>
      <c r="J30" t="s">
        <v>1706</v>
      </c>
      <c r="K30" t="s">
        <v>1788</v>
      </c>
      <c r="P30" s="390"/>
      <c r="Q30" s="391"/>
      <c r="R30" s="392"/>
    </row>
    <row r="31" spans="2:18">
      <c r="B31" t="s">
        <v>153</v>
      </c>
      <c r="C31" t="s">
        <v>2323</v>
      </c>
      <c r="D31" t="s">
        <v>2290</v>
      </c>
      <c r="E31" s="382" t="s">
        <v>117</v>
      </c>
      <c r="F31" s="384" t="s">
        <v>117</v>
      </c>
      <c r="G31" s="381">
        <v>34.299999999999997</v>
      </c>
      <c r="H31" t="s">
        <v>2312</v>
      </c>
      <c r="I31" t="str">
        <f t="shared" si="3"/>
        <v>DDR4_Data_ACC_Receiver_NA_NA_34.3_NONE</v>
      </c>
      <c r="J31" t="s">
        <v>1694</v>
      </c>
      <c r="K31" t="s">
        <v>1783</v>
      </c>
      <c r="L31" t="s">
        <v>1701</v>
      </c>
      <c r="M31" t="s">
        <v>1783</v>
      </c>
      <c r="P31" s="390"/>
      <c r="Q31" s="391"/>
      <c r="R31" s="392"/>
    </row>
    <row r="32" spans="2:18">
      <c r="B32" t="s">
        <v>153</v>
      </c>
      <c r="C32" t="s">
        <v>2323</v>
      </c>
      <c r="D32" t="s">
        <v>2290</v>
      </c>
      <c r="E32" s="382" t="s">
        <v>117</v>
      </c>
      <c r="F32" s="384" t="s">
        <v>117</v>
      </c>
      <c r="G32" s="381">
        <v>40</v>
      </c>
      <c r="H32" t="s">
        <v>2312</v>
      </c>
      <c r="I32" t="str">
        <f t="shared" si="3"/>
        <v>DDR4_Data_ACC_Receiver_NA_NA_40_NONE</v>
      </c>
      <c r="J32" t="s">
        <v>1695</v>
      </c>
      <c r="K32" t="s">
        <v>1784</v>
      </c>
      <c r="L32" t="s">
        <v>1702</v>
      </c>
      <c r="M32" t="s">
        <v>1784</v>
      </c>
      <c r="P32" s="390"/>
      <c r="Q32" s="391"/>
      <c r="R32" s="392"/>
    </row>
    <row r="33" spans="2:18">
      <c r="B33" t="s">
        <v>153</v>
      </c>
      <c r="C33" t="s">
        <v>2323</v>
      </c>
      <c r="D33" t="s">
        <v>2290</v>
      </c>
      <c r="E33" s="382" t="s">
        <v>117</v>
      </c>
      <c r="F33" s="384" t="s">
        <v>117</v>
      </c>
      <c r="G33" s="381">
        <v>48</v>
      </c>
      <c r="H33" t="s">
        <v>2312</v>
      </c>
      <c r="I33" t="str">
        <f t="shared" si="3"/>
        <v>DDR4_Data_ACC_Receiver_NA_NA_48_NONE</v>
      </c>
      <c r="J33" t="s">
        <v>1696</v>
      </c>
      <c r="K33" t="s">
        <v>1785</v>
      </c>
      <c r="L33" t="s">
        <v>1703</v>
      </c>
      <c r="M33" t="s">
        <v>1785</v>
      </c>
      <c r="P33" s="390"/>
      <c r="Q33" s="391"/>
      <c r="R33" s="392"/>
    </row>
    <row r="34" spans="2:18">
      <c r="B34" t="s">
        <v>153</v>
      </c>
      <c r="C34" t="s">
        <v>2323</v>
      </c>
      <c r="D34" t="s">
        <v>2290</v>
      </c>
      <c r="E34" s="382" t="s">
        <v>117</v>
      </c>
      <c r="F34" s="384" t="s">
        <v>117</v>
      </c>
      <c r="G34" s="381">
        <v>60</v>
      </c>
      <c r="H34" t="s">
        <v>2312</v>
      </c>
      <c r="I34" t="str">
        <f t="shared" si="3"/>
        <v>DDR4_Data_ACC_Receiver_NA_NA_60_NONE</v>
      </c>
      <c r="J34" t="s">
        <v>1697</v>
      </c>
      <c r="K34" t="s">
        <v>1786</v>
      </c>
      <c r="L34" t="s">
        <v>1704</v>
      </c>
      <c r="M34" t="s">
        <v>1786</v>
      </c>
      <c r="P34" s="390"/>
      <c r="Q34" s="391"/>
      <c r="R34" s="392"/>
    </row>
    <row r="35" spans="2:18">
      <c r="B35" t="s">
        <v>153</v>
      </c>
      <c r="C35" t="s">
        <v>2323</v>
      </c>
      <c r="D35" t="s">
        <v>2290</v>
      </c>
      <c r="E35" s="382" t="s">
        <v>117</v>
      </c>
      <c r="F35" s="384" t="s">
        <v>117</v>
      </c>
      <c r="G35" s="381">
        <v>80</v>
      </c>
      <c r="H35" t="s">
        <v>2312</v>
      </c>
      <c r="I35" t="str">
        <f t="shared" si="3"/>
        <v>DDR4_Data_ACC_Receiver_NA_NA_80_NONE</v>
      </c>
      <c r="J35" t="s">
        <v>1698</v>
      </c>
      <c r="K35" t="s">
        <v>1787</v>
      </c>
      <c r="L35" t="s">
        <v>1705</v>
      </c>
      <c r="M35" t="s">
        <v>1787</v>
      </c>
      <c r="P35" s="393"/>
      <c r="Q35" s="394"/>
      <c r="R35" s="395"/>
    </row>
    <row r="36" spans="2:18">
      <c r="B36" t="s">
        <v>153</v>
      </c>
      <c r="C36" t="s">
        <v>2323</v>
      </c>
      <c r="D36" t="s">
        <v>2290</v>
      </c>
      <c r="E36" s="382" t="s">
        <v>117</v>
      </c>
      <c r="F36" s="384" t="s">
        <v>117</v>
      </c>
      <c r="G36" s="381">
        <v>120</v>
      </c>
      <c r="H36" t="s">
        <v>2312</v>
      </c>
      <c r="I36" t="str">
        <f t="shared" si="3"/>
        <v>DDR4_Data_ACC_Receiver_NA_NA_120_NONE</v>
      </c>
      <c r="J36" t="s">
        <v>1692</v>
      </c>
      <c r="K36" t="s">
        <v>1781</v>
      </c>
      <c r="L36" t="s">
        <v>1699</v>
      </c>
      <c r="M36" t="s">
        <v>1781</v>
      </c>
    </row>
    <row r="37" spans="2:18">
      <c r="B37" t="s">
        <v>153</v>
      </c>
      <c r="C37" t="s">
        <v>2323</v>
      </c>
      <c r="D37" t="s">
        <v>2290</v>
      </c>
      <c r="E37" s="382" t="s">
        <v>117</v>
      </c>
      <c r="F37" s="384" t="s">
        <v>117</v>
      </c>
      <c r="G37" s="381">
        <v>240</v>
      </c>
      <c r="H37" t="s">
        <v>2312</v>
      </c>
      <c r="I37" t="str">
        <f t="shared" si="3"/>
        <v>DDR4_Data_ACC_Receiver_NA_NA_240_NONE</v>
      </c>
      <c r="J37" t="s">
        <v>1693</v>
      </c>
      <c r="K37" t="s">
        <v>1782</v>
      </c>
      <c r="L37" t="s">
        <v>1700</v>
      </c>
      <c r="M37" t="s">
        <v>1782</v>
      </c>
    </row>
    <row r="38" spans="2:18">
      <c r="B38" t="s">
        <v>153</v>
      </c>
      <c r="C38" t="s">
        <v>1551</v>
      </c>
      <c r="D38" t="s">
        <v>2289</v>
      </c>
      <c r="E38" s="382" t="s">
        <v>2293</v>
      </c>
      <c r="F38" s="381">
        <v>34.299999999999997</v>
      </c>
      <c r="G38" s="384" t="s">
        <v>117</v>
      </c>
      <c r="H38" t="s">
        <v>117</v>
      </c>
      <c r="I38" t="str">
        <f t="shared" si="3"/>
        <v>DDR4_DQS_Driver_00_34.3_NA_NA</v>
      </c>
      <c r="J38" t="s">
        <v>1954</v>
      </c>
      <c r="K38" t="s">
        <v>2103</v>
      </c>
    </row>
    <row r="39" spans="2:18">
      <c r="B39" t="s">
        <v>153</v>
      </c>
      <c r="C39" t="s">
        <v>1551</v>
      </c>
      <c r="D39" t="s">
        <v>2289</v>
      </c>
      <c r="E39" s="382" t="s">
        <v>2294</v>
      </c>
      <c r="F39" s="381">
        <v>34.299999999999997</v>
      </c>
      <c r="G39" s="384" t="s">
        <v>117</v>
      </c>
      <c r="H39" t="s">
        <v>117</v>
      </c>
      <c r="I39" t="str">
        <f t="shared" si="3"/>
        <v>DDR4_DQS_Driver_01_34.3_NA_NA</v>
      </c>
      <c r="J39" t="s">
        <v>1955</v>
      </c>
      <c r="K39" t="s">
        <v>2104</v>
      </c>
    </row>
    <row r="40" spans="2:18">
      <c r="B40" t="s">
        <v>153</v>
      </c>
      <c r="C40" t="s">
        <v>1551</v>
      </c>
      <c r="D40" t="s">
        <v>2289</v>
      </c>
      <c r="E40" s="382" t="s">
        <v>2295</v>
      </c>
      <c r="F40" s="381">
        <v>34.299999999999997</v>
      </c>
      <c r="G40" s="384" t="s">
        <v>117</v>
      </c>
      <c r="H40" t="s">
        <v>117</v>
      </c>
      <c r="I40" t="str">
        <f t="shared" si="3"/>
        <v>DDR4_DQS_Driver_10_34.3_NA_NA</v>
      </c>
      <c r="J40" t="s">
        <v>1956</v>
      </c>
      <c r="K40" t="s">
        <v>2105</v>
      </c>
    </row>
    <row r="41" spans="2:18">
      <c r="B41" t="s">
        <v>153</v>
      </c>
      <c r="C41" t="s">
        <v>1551</v>
      </c>
      <c r="D41" t="s">
        <v>2289</v>
      </c>
      <c r="E41" s="382" t="s">
        <v>2296</v>
      </c>
      <c r="F41" s="381">
        <v>34.299999999999997</v>
      </c>
      <c r="G41" s="384" t="s">
        <v>117</v>
      </c>
      <c r="H41" t="s">
        <v>117</v>
      </c>
      <c r="I41" t="str">
        <f t="shared" si="3"/>
        <v>DDR4_DQS_Driver_11_34.3_NA_NA</v>
      </c>
      <c r="J41" t="s">
        <v>1957</v>
      </c>
      <c r="K41" t="s">
        <v>2106</v>
      </c>
    </row>
    <row r="42" spans="2:18">
      <c r="B42" t="s">
        <v>153</v>
      </c>
      <c r="C42" t="s">
        <v>1551</v>
      </c>
      <c r="D42" t="s">
        <v>2289</v>
      </c>
      <c r="E42" s="382" t="s">
        <v>2293</v>
      </c>
      <c r="F42" s="381">
        <v>48</v>
      </c>
      <c r="G42" s="384" t="s">
        <v>117</v>
      </c>
      <c r="H42" t="s">
        <v>117</v>
      </c>
      <c r="I42" t="str">
        <f t="shared" si="3"/>
        <v>DDR4_DQS_Driver_00_48_NA_NA</v>
      </c>
      <c r="J42" t="s">
        <v>1958</v>
      </c>
      <c r="K42" t="s">
        <v>2107</v>
      </c>
    </row>
    <row r="43" spans="2:18">
      <c r="B43" t="s">
        <v>153</v>
      </c>
      <c r="C43" t="s">
        <v>1551</v>
      </c>
      <c r="D43" t="s">
        <v>2289</v>
      </c>
      <c r="E43" s="382" t="s">
        <v>2294</v>
      </c>
      <c r="F43" s="381">
        <v>48</v>
      </c>
      <c r="G43" s="384" t="s">
        <v>117</v>
      </c>
      <c r="H43" t="s">
        <v>117</v>
      </c>
      <c r="I43" t="str">
        <f t="shared" si="3"/>
        <v>DDR4_DQS_Driver_01_48_NA_NA</v>
      </c>
      <c r="J43" t="s">
        <v>1959</v>
      </c>
      <c r="K43" t="s">
        <v>2108</v>
      </c>
    </row>
    <row r="44" spans="2:18">
      <c r="B44" t="s">
        <v>153</v>
      </c>
      <c r="C44" t="s">
        <v>1551</v>
      </c>
      <c r="D44" t="s">
        <v>2289</v>
      </c>
      <c r="E44" s="382" t="s">
        <v>2295</v>
      </c>
      <c r="F44" s="381">
        <v>48</v>
      </c>
      <c r="G44" s="384" t="s">
        <v>117</v>
      </c>
      <c r="H44" t="s">
        <v>117</v>
      </c>
      <c r="I44" t="str">
        <f t="shared" si="3"/>
        <v>DDR4_DQS_Driver_10_48_NA_NA</v>
      </c>
      <c r="J44" t="s">
        <v>1960</v>
      </c>
      <c r="K44" t="s">
        <v>2109</v>
      </c>
    </row>
    <row r="45" spans="2:18">
      <c r="B45" t="s">
        <v>153</v>
      </c>
      <c r="C45" t="s">
        <v>1551</v>
      </c>
      <c r="D45" t="s">
        <v>2289</v>
      </c>
      <c r="E45" s="382" t="s">
        <v>2296</v>
      </c>
      <c r="F45" s="381">
        <v>48</v>
      </c>
      <c r="G45" s="384" t="s">
        <v>117</v>
      </c>
      <c r="H45" t="s">
        <v>117</v>
      </c>
      <c r="I45" t="str">
        <f t="shared" si="3"/>
        <v>DDR4_DQS_Driver_11_48_NA_NA</v>
      </c>
      <c r="J45" t="s">
        <v>1961</v>
      </c>
      <c r="K45" t="s">
        <v>2110</v>
      </c>
    </row>
    <row r="46" spans="2:18">
      <c r="B46" t="s">
        <v>153</v>
      </c>
      <c r="C46" t="s">
        <v>1551</v>
      </c>
      <c r="D46" t="s">
        <v>2290</v>
      </c>
      <c r="E46" s="382" t="s">
        <v>117</v>
      </c>
      <c r="F46" s="384" t="s">
        <v>117</v>
      </c>
      <c r="G46" s="381" t="s">
        <v>1101</v>
      </c>
      <c r="H46" t="s">
        <v>2306</v>
      </c>
      <c r="I46" t="str">
        <f t="shared" si="3"/>
        <v>DDR4_DQS_Receiver_NA_NA_disabled_PD415</v>
      </c>
      <c r="J46" t="s">
        <v>2060</v>
      </c>
      <c r="K46" t="s">
        <v>2154</v>
      </c>
    </row>
    <row r="47" spans="2:18">
      <c r="B47" t="s">
        <v>153</v>
      </c>
      <c r="C47" t="s">
        <v>1551</v>
      </c>
      <c r="D47" t="s">
        <v>2290</v>
      </c>
      <c r="E47" s="382" t="s">
        <v>117</v>
      </c>
      <c r="F47" s="384" t="s">
        <v>117</v>
      </c>
      <c r="G47" s="381" t="s">
        <v>1101</v>
      </c>
      <c r="H47" t="s">
        <v>2307</v>
      </c>
      <c r="I47" t="str">
        <f t="shared" si="3"/>
        <v>DDR4_DQS_Receiver_NA_NA_disabled_PD500</v>
      </c>
      <c r="J47" t="s">
        <v>2061</v>
      </c>
      <c r="K47" t="s">
        <v>2155</v>
      </c>
    </row>
    <row r="48" spans="2:18">
      <c r="B48" t="s">
        <v>153</v>
      </c>
      <c r="C48" t="s">
        <v>1551</v>
      </c>
      <c r="D48" t="s">
        <v>2290</v>
      </c>
      <c r="E48" s="382" t="s">
        <v>117</v>
      </c>
      <c r="F48" s="384" t="s">
        <v>117</v>
      </c>
      <c r="G48" s="381" t="s">
        <v>1101</v>
      </c>
      <c r="H48" t="s">
        <v>2308</v>
      </c>
      <c r="I48" t="str">
        <f t="shared" si="3"/>
        <v>DDR4_DQS_Receiver_NA_NA_disabled_PD620</v>
      </c>
      <c r="J48" t="s">
        <v>2062</v>
      </c>
      <c r="K48" t="s">
        <v>2156</v>
      </c>
    </row>
    <row r="49" spans="2:13">
      <c r="B49" t="s">
        <v>153</v>
      </c>
      <c r="C49" t="s">
        <v>1551</v>
      </c>
      <c r="D49" t="s">
        <v>2290</v>
      </c>
      <c r="E49" s="382" t="s">
        <v>117</v>
      </c>
      <c r="F49" s="384" t="s">
        <v>117</v>
      </c>
      <c r="G49" s="381" t="s">
        <v>1101</v>
      </c>
      <c r="H49" t="s">
        <v>2309</v>
      </c>
      <c r="I49" t="str">
        <f t="shared" si="3"/>
        <v>DDR4_DQS_Receiver_NA_NA_disabled_PU415</v>
      </c>
      <c r="J49" t="s">
        <v>2063</v>
      </c>
      <c r="K49" t="s">
        <v>2157</v>
      </c>
    </row>
    <row r="50" spans="2:13">
      <c r="B50" t="s">
        <v>153</v>
      </c>
      <c r="C50" t="s">
        <v>1551</v>
      </c>
      <c r="D50" t="s">
        <v>2290</v>
      </c>
      <c r="E50" s="382" t="s">
        <v>117</v>
      </c>
      <c r="F50" s="384" t="s">
        <v>117</v>
      </c>
      <c r="G50" s="381" t="s">
        <v>1101</v>
      </c>
      <c r="H50" t="s">
        <v>2310</v>
      </c>
      <c r="I50" t="str">
        <f t="shared" si="3"/>
        <v>DDR4_DQS_Receiver_NA_NA_disabled_PU500</v>
      </c>
      <c r="J50" t="s">
        <v>2064</v>
      </c>
      <c r="K50" t="s">
        <v>2158</v>
      </c>
    </row>
    <row r="51" spans="2:13">
      <c r="B51" t="s">
        <v>153</v>
      </c>
      <c r="C51" t="s">
        <v>1551</v>
      </c>
      <c r="D51" t="s">
        <v>2290</v>
      </c>
      <c r="E51" s="382" t="s">
        <v>117</v>
      </c>
      <c r="F51" s="384" t="s">
        <v>117</v>
      </c>
      <c r="G51" s="381" t="s">
        <v>1101</v>
      </c>
      <c r="H51" t="s">
        <v>2311</v>
      </c>
      <c r="I51" t="str">
        <f t="shared" si="3"/>
        <v>DDR4_DQS_Receiver_NA_NA_disabled_PU620</v>
      </c>
      <c r="J51" t="s">
        <v>2065</v>
      </c>
      <c r="K51" t="s">
        <v>2159</v>
      </c>
    </row>
    <row r="52" spans="2:13">
      <c r="B52" t="s">
        <v>153</v>
      </c>
      <c r="C52" t="s">
        <v>1551</v>
      </c>
      <c r="D52" t="s">
        <v>2290</v>
      </c>
      <c r="E52" s="382" t="s">
        <v>117</v>
      </c>
      <c r="F52" s="384" t="s">
        <v>117</v>
      </c>
      <c r="G52" s="381" t="s">
        <v>1101</v>
      </c>
      <c r="H52" t="s">
        <v>2312</v>
      </c>
      <c r="I52" t="str">
        <f t="shared" si="3"/>
        <v>DDR4_DQS_Receiver_NA_NA_disabled_NONE</v>
      </c>
      <c r="J52" t="s">
        <v>2066</v>
      </c>
      <c r="K52" t="s">
        <v>2160</v>
      </c>
    </row>
    <row r="53" spans="2:13">
      <c r="B53" t="s">
        <v>153</v>
      </c>
      <c r="C53" t="s">
        <v>1551</v>
      </c>
      <c r="D53" t="s">
        <v>2290</v>
      </c>
      <c r="E53" s="382" t="s">
        <v>117</v>
      </c>
      <c r="F53" s="384" t="s">
        <v>117</v>
      </c>
      <c r="G53" s="381">
        <v>34.299999999999997</v>
      </c>
      <c r="H53" t="s">
        <v>2306</v>
      </c>
      <c r="I53" t="str">
        <f t="shared" si="3"/>
        <v>DDR4_DQS_Receiver_NA_NA_34.3_PD415</v>
      </c>
      <c r="J53" t="s">
        <v>1976</v>
      </c>
      <c r="K53" t="s">
        <v>2125</v>
      </c>
      <c r="L53" t="s">
        <v>2025</v>
      </c>
      <c r="M53" t="s">
        <v>2125</v>
      </c>
    </row>
    <row r="54" spans="2:13">
      <c r="B54" t="s">
        <v>153</v>
      </c>
      <c r="C54" t="s">
        <v>1551</v>
      </c>
      <c r="D54" t="s">
        <v>2290</v>
      </c>
      <c r="E54" s="382" t="s">
        <v>117</v>
      </c>
      <c r="F54" s="384" t="s">
        <v>117</v>
      </c>
      <c r="G54" s="381">
        <v>34.299999999999997</v>
      </c>
      <c r="H54" t="s">
        <v>2307</v>
      </c>
      <c r="I54" t="str">
        <f t="shared" si="3"/>
        <v>DDR4_DQS_Receiver_NA_NA_34.3_PD500</v>
      </c>
      <c r="J54" t="s">
        <v>1977</v>
      </c>
      <c r="K54" t="s">
        <v>2126</v>
      </c>
      <c r="L54" t="s">
        <v>2026</v>
      </c>
      <c r="M54" t="s">
        <v>2126</v>
      </c>
    </row>
    <row r="55" spans="2:13">
      <c r="B55" t="s">
        <v>153</v>
      </c>
      <c r="C55" t="s">
        <v>1551</v>
      </c>
      <c r="D55" t="s">
        <v>2290</v>
      </c>
      <c r="E55" s="382" t="s">
        <v>117</v>
      </c>
      <c r="F55" s="384" t="s">
        <v>117</v>
      </c>
      <c r="G55" s="381">
        <v>34.299999999999997</v>
      </c>
      <c r="H55" t="s">
        <v>2308</v>
      </c>
      <c r="I55" t="str">
        <f t="shared" si="3"/>
        <v>DDR4_DQS_Receiver_NA_NA_34.3_PD620</v>
      </c>
      <c r="J55" t="s">
        <v>1978</v>
      </c>
      <c r="K55" t="s">
        <v>2127</v>
      </c>
      <c r="L55" t="s">
        <v>2027</v>
      </c>
      <c r="M55" t="s">
        <v>2127</v>
      </c>
    </row>
    <row r="56" spans="2:13">
      <c r="B56" t="s">
        <v>153</v>
      </c>
      <c r="C56" t="s">
        <v>1551</v>
      </c>
      <c r="D56" t="s">
        <v>2290</v>
      </c>
      <c r="E56" s="382" t="s">
        <v>117</v>
      </c>
      <c r="F56" s="384" t="s">
        <v>117</v>
      </c>
      <c r="G56" s="381">
        <v>34.299999999999997</v>
      </c>
      <c r="H56" t="s">
        <v>2309</v>
      </c>
      <c r="I56" t="str">
        <f t="shared" si="3"/>
        <v>DDR4_DQS_Receiver_NA_NA_34.3_PU415</v>
      </c>
      <c r="J56" t="s">
        <v>1979</v>
      </c>
      <c r="K56" t="s">
        <v>2128</v>
      </c>
      <c r="L56" t="s">
        <v>2028</v>
      </c>
      <c r="M56" t="s">
        <v>2128</v>
      </c>
    </row>
    <row r="57" spans="2:13">
      <c r="B57" t="s">
        <v>153</v>
      </c>
      <c r="C57" t="s">
        <v>1551</v>
      </c>
      <c r="D57" t="s">
        <v>2290</v>
      </c>
      <c r="E57" s="382" t="s">
        <v>117</v>
      </c>
      <c r="F57" s="384" t="s">
        <v>117</v>
      </c>
      <c r="G57" s="381">
        <v>34.299999999999997</v>
      </c>
      <c r="H57" t="s">
        <v>2310</v>
      </c>
      <c r="I57" t="str">
        <f t="shared" si="3"/>
        <v>DDR4_DQS_Receiver_NA_NA_34.3_PU500</v>
      </c>
      <c r="J57" t="s">
        <v>1980</v>
      </c>
      <c r="K57" t="s">
        <v>2129</v>
      </c>
      <c r="L57" t="s">
        <v>2029</v>
      </c>
      <c r="M57" t="s">
        <v>2129</v>
      </c>
    </row>
    <row r="58" spans="2:13">
      <c r="B58" t="s">
        <v>153</v>
      </c>
      <c r="C58" t="s">
        <v>1551</v>
      </c>
      <c r="D58" t="s">
        <v>2290</v>
      </c>
      <c r="E58" s="382" t="s">
        <v>117</v>
      </c>
      <c r="F58" s="384" t="s">
        <v>117</v>
      </c>
      <c r="G58" s="381">
        <v>34.299999999999997</v>
      </c>
      <c r="H58" t="s">
        <v>2311</v>
      </c>
      <c r="I58" t="str">
        <f t="shared" si="3"/>
        <v>DDR4_DQS_Receiver_NA_NA_34.3_PU620</v>
      </c>
      <c r="J58" t="s">
        <v>1981</v>
      </c>
      <c r="K58" t="s">
        <v>2130</v>
      </c>
      <c r="L58" t="s">
        <v>2030</v>
      </c>
      <c r="M58" t="s">
        <v>2130</v>
      </c>
    </row>
    <row r="59" spans="2:13">
      <c r="B59" t="s">
        <v>153</v>
      </c>
      <c r="C59" t="s">
        <v>1551</v>
      </c>
      <c r="D59" t="s">
        <v>2290</v>
      </c>
      <c r="E59" s="382" t="s">
        <v>117</v>
      </c>
      <c r="F59" s="384" t="s">
        <v>117</v>
      </c>
      <c r="G59" s="381">
        <v>34.299999999999997</v>
      </c>
      <c r="H59" t="s">
        <v>2312</v>
      </c>
      <c r="I59" t="str">
        <f t="shared" si="3"/>
        <v>DDR4_DQS_Receiver_NA_NA_34.3_NONE</v>
      </c>
      <c r="J59" t="s">
        <v>1982</v>
      </c>
      <c r="K59" t="s">
        <v>2131</v>
      </c>
      <c r="L59" t="s">
        <v>2031</v>
      </c>
      <c r="M59" t="s">
        <v>2131</v>
      </c>
    </row>
    <row r="60" spans="2:13">
      <c r="B60" t="s">
        <v>153</v>
      </c>
      <c r="C60" t="s">
        <v>1551</v>
      </c>
      <c r="D60" t="s">
        <v>2290</v>
      </c>
      <c r="E60" s="382" t="s">
        <v>117</v>
      </c>
      <c r="F60" s="384" t="s">
        <v>117</v>
      </c>
      <c r="G60" s="381">
        <v>40</v>
      </c>
      <c r="H60" t="s">
        <v>2306</v>
      </c>
      <c r="I60" t="str">
        <f t="shared" si="3"/>
        <v>DDR4_DQS_Receiver_NA_NA_40_PD415</v>
      </c>
      <c r="J60" t="s">
        <v>1983</v>
      </c>
      <c r="K60" t="s">
        <v>2125</v>
      </c>
      <c r="L60" t="s">
        <v>2032</v>
      </c>
      <c r="M60" t="s">
        <v>2125</v>
      </c>
    </row>
    <row r="61" spans="2:13">
      <c r="B61" t="s">
        <v>153</v>
      </c>
      <c r="C61" t="s">
        <v>1551</v>
      </c>
      <c r="D61" t="s">
        <v>2290</v>
      </c>
      <c r="E61" s="382" t="s">
        <v>117</v>
      </c>
      <c r="F61" s="384" t="s">
        <v>117</v>
      </c>
      <c r="G61" s="381">
        <v>40</v>
      </c>
      <c r="H61" t="s">
        <v>2307</v>
      </c>
      <c r="I61" t="str">
        <f t="shared" si="3"/>
        <v>DDR4_DQS_Receiver_NA_NA_40_PD500</v>
      </c>
      <c r="J61" t="s">
        <v>1984</v>
      </c>
      <c r="K61" t="s">
        <v>2126</v>
      </c>
      <c r="L61" t="s">
        <v>2033</v>
      </c>
      <c r="M61" t="s">
        <v>2126</v>
      </c>
    </row>
    <row r="62" spans="2:13">
      <c r="B62" t="s">
        <v>153</v>
      </c>
      <c r="C62" t="s">
        <v>1551</v>
      </c>
      <c r="D62" t="s">
        <v>2290</v>
      </c>
      <c r="E62" s="382" t="s">
        <v>117</v>
      </c>
      <c r="F62" s="384" t="s">
        <v>117</v>
      </c>
      <c r="G62" s="381">
        <v>40</v>
      </c>
      <c r="H62" t="s">
        <v>2308</v>
      </c>
      <c r="I62" t="str">
        <f t="shared" si="3"/>
        <v>DDR4_DQS_Receiver_NA_NA_40_PD620</v>
      </c>
      <c r="J62" t="s">
        <v>1985</v>
      </c>
      <c r="K62" t="s">
        <v>2127</v>
      </c>
      <c r="L62" t="s">
        <v>2034</v>
      </c>
      <c r="M62" t="s">
        <v>2127</v>
      </c>
    </row>
    <row r="63" spans="2:13">
      <c r="B63" t="s">
        <v>153</v>
      </c>
      <c r="C63" t="s">
        <v>1551</v>
      </c>
      <c r="D63" t="s">
        <v>2290</v>
      </c>
      <c r="E63" s="382" t="s">
        <v>117</v>
      </c>
      <c r="F63" s="384" t="s">
        <v>117</v>
      </c>
      <c r="G63" s="381">
        <v>40</v>
      </c>
      <c r="H63" t="s">
        <v>2309</v>
      </c>
      <c r="I63" t="str">
        <f t="shared" si="3"/>
        <v>DDR4_DQS_Receiver_NA_NA_40_PU415</v>
      </c>
      <c r="J63" t="s">
        <v>1986</v>
      </c>
      <c r="K63" t="s">
        <v>2128</v>
      </c>
      <c r="L63" t="s">
        <v>2035</v>
      </c>
      <c r="M63" t="s">
        <v>2128</v>
      </c>
    </row>
    <row r="64" spans="2:13">
      <c r="B64" t="s">
        <v>153</v>
      </c>
      <c r="C64" t="s">
        <v>1551</v>
      </c>
      <c r="D64" t="s">
        <v>2290</v>
      </c>
      <c r="E64" s="382" t="s">
        <v>117</v>
      </c>
      <c r="F64" s="384" t="s">
        <v>117</v>
      </c>
      <c r="G64" s="381">
        <v>40</v>
      </c>
      <c r="H64" t="s">
        <v>2310</v>
      </c>
      <c r="I64" t="str">
        <f t="shared" si="3"/>
        <v>DDR4_DQS_Receiver_NA_NA_40_PU500</v>
      </c>
      <c r="J64" t="s">
        <v>1987</v>
      </c>
      <c r="K64" t="s">
        <v>2129</v>
      </c>
      <c r="L64" t="s">
        <v>2036</v>
      </c>
      <c r="M64" t="s">
        <v>2129</v>
      </c>
    </row>
    <row r="65" spans="2:13">
      <c r="B65" t="s">
        <v>153</v>
      </c>
      <c r="C65" t="s">
        <v>1551</v>
      </c>
      <c r="D65" t="s">
        <v>2290</v>
      </c>
      <c r="E65" s="382" t="s">
        <v>117</v>
      </c>
      <c r="F65" s="384" t="s">
        <v>117</v>
      </c>
      <c r="G65" s="381">
        <v>40</v>
      </c>
      <c r="H65" t="s">
        <v>2311</v>
      </c>
      <c r="I65" t="str">
        <f t="shared" si="3"/>
        <v>DDR4_DQS_Receiver_NA_NA_40_PU620</v>
      </c>
      <c r="J65" t="s">
        <v>1988</v>
      </c>
      <c r="K65" t="s">
        <v>2132</v>
      </c>
      <c r="L65" t="s">
        <v>2037</v>
      </c>
      <c r="M65" t="s">
        <v>2132</v>
      </c>
    </row>
    <row r="66" spans="2:13">
      <c r="B66" t="s">
        <v>153</v>
      </c>
      <c r="C66" t="s">
        <v>1551</v>
      </c>
      <c r="D66" t="s">
        <v>2290</v>
      </c>
      <c r="E66" s="382" t="s">
        <v>117</v>
      </c>
      <c r="F66" s="384" t="s">
        <v>117</v>
      </c>
      <c r="G66" s="381">
        <v>40</v>
      </c>
      <c r="H66" t="s">
        <v>2312</v>
      </c>
      <c r="I66" t="str">
        <f t="shared" si="3"/>
        <v>DDR4_DQS_Receiver_NA_NA_40_NONE</v>
      </c>
      <c r="J66" t="s">
        <v>1989</v>
      </c>
      <c r="K66" t="s">
        <v>2131</v>
      </c>
      <c r="L66" t="s">
        <v>2038</v>
      </c>
      <c r="M66" t="s">
        <v>2131</v>
      </c>
    </row>
    <row r="67" spans="2:13">
      <c r="B67" t="s">
        <v>153</v>
      </c>
      <c r="C67" t="s">
        <v>1551</v>
      </c>
      <c r="D67" t="s">
        <v>2290</v>
      </c>
      <c r="E67" s="382" t="s">
        <v>117</v>
      </c>
      <c r="F67" s="384" t="s">
        <v>117</v>
      </c>
      <c r="G67" s="381">
        <v>48</v>
      </c>
      <c r="H67" t="s">
        <v>2306</v>
      </c>
      <c r="I67" t="str">
        <f t="shared" si="3"/>
        <v>DDR4_DQS_Receiver_NA_NA_48_PD415</v>
      </c>
      <c r="J67" t="s">
        <v>1990</v>
      </c>
      <c r="K67" t="s">
        <v>2133</v>
      </c>
      <c r="L67" t="s">
        <v>2039</v>
      </c>
      <c r="M67" t="s">
        <v>2133</v>
      </c>
    </row>
    <row r="68" spans="2:13">
      <c r="B68" t="s">
        <v>153</v>
      </c>
      <c r="C68" t="s">
        <v>1551</v>
      </c>
      <c r="D68" t="s">
        <v>2290</v>
      </c>
      <c r="E68" s="382" t="s">
        <v>117</v>
      </c>
      <c r="F68" s="384" t="s">
        <v>117</v>
      </c>
      <c r="G68" s="381">
        <v>48</v>
      </c>
      <c r="H68" t="s">
        <v>2307</v>
      </c>
      <c r="I68" t="str">
        <f t="shared" si="3"/>
        <v>DDR4_DQS_Receiver_NA_NA_48_PD500</v>
      </c>
      <c r="J68" t="s">
        <v>1991</v>
      </c>
      <c r="K68" t="s">
        <v>2134</v>
      </c>
      <c r="L68" t="s">
        <v>2040</v>
      </c>
      <c r="M68" t="s">
        <v>2134</v>
      </c>
    </row>
    <row r="69" spans="2:13">
      <c r="B69" t="s">
        <v>153</v>
      </c>
      <c r="C69" t="s">
        <v>1551</v>
      </c>
      <c r="D69" t="s">
        <v>2290</v>
      </c>
      <c r="E69" s="382" t="s">
        <v>117</v>
      </c>
      <c r="F69" s="384" t="s">
        <v>117</v>
      </c>
      <c r="G69" s="381">
        <v>48</v>
      </c>
      <c r="H69" t="s">
        <v>2308</v>
      </c>
      <c r="I69" t="str">
        <f t="shared" si="3"/>
        <v>DDR4_DQS_Receiver_NA_NA_48_PD620</v>
      </c>
      <c r="J69" t="s">
        <v>1992</v>
      </c>
      <c r="K69" t="s">
        <v>2135</v>
      </c>
      <c r="L69" t="s">
        <v>2041</v>
      </c>
      <c r="M69" t="s">
        <v>2135</v>
      </c>
    </row>
    <row r="70" spans="2:13">
      <c r="B70" t="s">
        <v>153</v>
      </c>
      <c r="C70" t="s">
        <v>1551</v>
      </c>
      <c r="D70" t="s">
        <v>2290</v>
      </c>
      <c r="E70" s="382" t="s">
        <v>117</v>
      </c>
      <c r="F70" s="384" t="s">
        <v>117</v>
      </c>
      <c r="G70" s="381">
        <v>48</v>
      </c>
      <c r="H70" t="s">
        <v>2309</v>
      </c>
      <c r="I70" t="str">
        <f t="shared" si="3"/>
        <v>DDR4_DQS_Receiver_NA_NA_48_PU415</v>
      </c>
      <c r="J70" t="s">
        <v>1993</v>
      </c>
      <c r="K70" t="s">
        <v>2136</v>
      </c>
      <c r="L70" t="s">
        <v>2042</v>
      </c>
      <c r="M70" t="s">
        <v>2136</v>
      </c>
    </row>
    <row r="71" spans="2:13">
      <c r="B71" t="s">
        <v>153</v>
      </c>
      <c r="C71" t="s">
        <v>1551</v>
      </c>
      <c r="D71" t="s">
        <v>2290</v>
      </c>
      <c r="E71" s="382" t="s">
        <v>117</v>
      </c>
      <c r="F71" s="384" t="s">
        <v>117</v>
      </c>
      <c r="G71" s="381">
        <v>48</v>
      </c>
      <c r="H71" t="s">
        <v>2310</v>
      </c>
      <c r="I71" t="str">
        <f t="shared" si="3"/>
        <v>DDR4_DQS_Receiver_NA_NA_48_PU500</v>
      </c>
      <c r="J71" t="s">
        <v>1994</v>
      </c>
      <c r="K71" t="s">
        <v>2137</v>
      </c>
      <c r="L71" t="s">
        <v>2043</v>
      </c>
      <c r="M71" t="s">
        <v>2137</v>
      </c>
    </row>
    <row r="72" spans="2:13">
      <c r="B72" t="s">
        <v>153</v>
      </c>
      <c r="C72" t="s">
        <v>1551</v>
      </c>
      <c r="D72" t="s">
        <v>2290</v>
      </c>
      <c r="E72" s="382" t="s">
        <v>117</v>
      </c>
      <c r="F72" s="384" t="s">
        <v>117</v>
      </c>
      <c r="G72" s="381">
        <v>48</v>
      </c>
      <c r="H72" t="s">
        <v>2311</v>
      </c>
      <c r="I72" t="str">
        <f t="shared" si="3"/>
        <v>DDR4_DQS_Receiver_NA_NA_48_PU620</v>
      </c>
      <c r="J72" t="s">
        <v>1995</v>
      </c>
      <c r="K72" t="s">
        <v>2138</v>
      </c>
      <c r="L72" t="s">
        <v>2044</v>
      </c>
      <c r="M72" t="s">
        <v>2138</v>
      </c>
    </row>
    <row r="73" spans="2:13">
      <c r="B73" t="s">
        <v>153</v>
      </c>
      <c r="C73" t="s">
        <v>1551</v>
      </c>
      <c r="D73" t="s">
        <v>2290</v>
      </c>
      <c r="E73" s="382" t="s">
        <v>117</v>
      </c>
      <c r="F73" s="384" t="s">
        <v>117</v>
      </c>
      <c r="G73" s="381">
        <v>48</v>
      </c>
      <c r="H73" t="s">
        <v>2312</v>
      </c>
      <c r="I73" t="str">
        <f t="shared" si="3"/>
        <v>DDR4_DQS_Receiver_NA_NA_48_NONE</v>
      </c>
      <c r="J73" t="s">
        <v>1996</v>
      </c>
      <c r="K73" t="s">
        <v>2139</v>
      </c>
      <c r="L73" t="s">
        <v>2045</v>
      </c>
      <c r="M73" t="s">
        <v>2139</v>
      </c>
    </row>
    <row r="74" spans="2:13">
      <c r="B74" t="s">
        <v>153</v>
      </c>
      <c r="C74" t="s">
        <v>1551</v>
      </c>
      <c r="D74" t="s">
        <v>2290</v>
      </c>
      <c r="E74" s="382" t="s">
        <v>117</v>
      </c>
      <c r="F74" s="384" t="s">
        <v>117</v>
      </c>
      <c r="G74" s="381">
        <v>60</v>
      </c>
      <c r="H74" t="s">
        <v>2306</v>
      </c>
      <c r="I74" t="str">
        <f t="shared" si="3"/>
        <v>DDR4_DQS_Receiver_NA_NA_60_PD415</v>
      </c>
      <c r="J74" t="s">
        <v>1997</v>
      </c>
      <c r="K74" t="s">
        <v>2140</v>
      </c>
      <c r="L74" t="s">
        <v>2046</v>
      </c>
      <c r="M74" t="s">
        <v>2140</v>
      </c>
    </row>
    <row r="75" spans="2:13">
      <c r="B75" t="s">
        <v>153</v>
      </c>
      <c r="C75" t="s">
        <v>1551</v>
      </c>
      <c r="D75" t="s">
        <v>2290</v>
      </c>
      <c r="E75" s="382" t="s">
        <v>117</v>
      </c>
      <c r="F75" s="384" t="s">
        <v>117</v>
      </c>
      <c r="G75" s="381">
        <v>60</v>
      </c>
      <c r="H75" t="s">
        <v>2307</v>
      </c>
      <c r="I75" t="str">
        <f t="shared" si="3"/>
        <v>DDR4_DQS_Receiver_NA_NA_60_PD500</v>
      </c>
      <c r="J75" t="s">
        <v>1998</v>
      </c>
      <c r="K75" t="s">
        <v>2141</v>
      </c>
      <c r="L75" t="s">
        <v>2047</v>
      </c>
      <c r="M75" t="s">
        <v>2141</v>
      </c>
    </row>
    <row r="76" spans="2:13">
      <c r="B76" t="s">
        <v>153</v>
      </c>
      <c r="C76" t="s">
        <v>1551</v>
      </c>
      <c r="D76" t="s">
        <v>2290</v>
      </c>
      <c r="E76" s="382" t="s">
        <v>117</v>
      </c>
      <c r="F76" s="384" t="s">
        <v>117</v>
      </c>
      <c r="G76" s="381">
        <v>60</v>
      </c>
      <c r="H76" t="s">
        <v>2308</v>
      </c>
      <c r="I76" t="str">
        <f t="shared" si="3"/>
        <v>DDR4_DQS_Receiver_NA_NA_60_PD620</v>
      </c>
      <c r="J76" t="s">
        <v>1999</v>
      </c>
      <c r="K76" t="s">
        <v>2142</v>
      </c>
      <c r="L76" t="s">
        <v>2048</v>
      </c>
      <c r="M76" t="s">
        <v>2142</v>
      </c>
    </row>
    <row r="77" spans="2:13">
      <c r="B77" t="s">
        <v>153</v>
      </c>
      <c r="C77" t="s">
        <v>1551</v>
      </c>
      <c r="D77" t="s">
        <v>2290</v>
      </c>
      <c r="E77" s="382" t="s">
        <v>117</v>
      </c>
      <c r="F77" s="384" t="s">
        <v>117</v>
      </c>
      <c r="G77" s="381">
        <v>60</v>
      </c>
      <c r="H77" t="s">
        <v>2309</v>
      </c>
      <c r="I77" t="str">
        <f t="shared" si="3"/>
        <v>DDR4_DQS_Receiver_NA_NA_60_PU415</v>
      </c>
      <c r="J77" t="s">
        <v>2000</v>
      </c>
      <c r="K77" t="s">
        <v>2143</v>
      </c>
      <c r="L77" t="s">
        <v>2049</v>
      </c>
      <c r="M77" t="s">
        <v>2143</v>
      </c>
    </row>
    <row r="78" spans="2:13">
      <c r="B78" t="s">
        <v>153</v>
      </c>
      <c r="C78" t="s">
        <v>1551</v>
      </c>
      <c r="D78" t="s">
        <v>2290</v>
      </c>
      <c r="E78" s="382" t="s">
        <v>117</v>
      </c>
      <c r="F78" s="384" t="s">
        <v>117</v>
      </c>
      <c r="G78" s="381">
        <v>60</v>
      </c>
      <c r="H78" t="s">
        <v>2310</v>
      </c>
      <c r="I78" t="str">
        <f t="shared" si="3"/>
        <v>DDR4_DQS_Receiver_NA_NA_60_PU500</v>
      </c>
      <c r="J78" t="s">
        <v>2001</v>
      </c>
      <c r="K78" t="s">
        <v>2144</v>
      </c>
      <c r="L78" t="s">
        <v>2050</v>
      </c>
      <c r="M78" t="s">
        <v>2144</v>
      </c>
    </row>
    <row r="79" spans="2:13">
      <c r="B79" t="s">
        <v>153</v>
      </c>
      <c r="C79" t="s">
        <v>1551</v>
      </c>
      <c r="D79" t="s">
        <v>2290</v>
      </c>
      <c r="E79" s="382" t="s">
        <v>117</v>
      </c>
      <c r="F79" s="384" t="s">
        <v>117</v>
      </c>
      <c r="G79" s="381">
        <v>60</v>
      </c>
      <c r="H79" t="s">
        <v>2311</v>
      </c>
      <c r="I79" t="str">
        <f t="shared" ref="I79:I142" si="4">CONCATENATE(B79,"_",C79,"_",D79,"_",E79,"_",F79,"_",G79,"_",H79)</f>
        <v>DDR4_DQS_Receiver_NA_NA_60_PU620</v>
      </c>
      <c r="J79" t="s">
        <v>2002</v>
      </c>
      <c r="K79" t="s">
        <v>2145</v>
      </c>
      <c r="L79" t="s">
        <v>2051</v>
      </c>
      <c r="M79" t="s">
        <v>2145</v>
      </c>
    </row>
    <row r="80" spans="2:13">
      <c r="B80" t="s">
        <v>153</v>
      </c>
      <c r="C80" t="s">
        <v>1551</v>
      </c>
      <c r="D80" t="s">
        <v>2290</v>
      </c>
      <c r="E80" s="382" t="s">
        <v>117</v>
      </c>
      <c r="F80" s="384" t="s">
        <v>117</v>
      </c>
      <c r="G80" s="381">
        <v>60</v>
      </c>
      <c r="H80" t="s">
        <v>2312</v>
      </c>
      <c r="I80" t="str">
        <f t="shared" si="4"/>
        <v>DDR4_DQS_Receiver_NA_NA_60_NONE</v>
      </c>
      <c r="J80" t="s">
        <v>2003</v>
      </c>
      <c r="K80" t="s">
        <v>2146</v>
      </c>
      <c r="L80" t="s">
        <v>2052</v>
      </c>
      <c r="M80" t="s">
        <v>2146</v>
      </c>
    </row>
    <row r="81" spans="2:13">
      <c r="B81" t="s">
        <v>153</v>
      </c>
      <c r="C81" t="s">
        <v>1551</v>
      </c>
      <c r="D81" t="s">
        <v>2290</v>
      </c>
      <c r="E81" s="382" t="s">
        <v>117</v>
      </c>
      <c r="F81" s="384" t="s">
        <v>117</v>
      </c>
      <c r="G81" s="381">
        <v>80</v>
      </c>
      <c r="H81" t="s">
        <v>2306</v>
      </c>
      <c r="I81" t="str">
        <f t="shared" si="4"/>
        <v>DDR4_DQS_Receiver_NA_NA_80_PD415</v>
      </c>
      <c r="J81" t="s">
        <v>2004</v>
      </c>
      <c r="K81" t="s">
        <v>2147</v>
      </c>
      <c r="L81" t="s">
        <v>2053</v>
      </c>
      <c r="M81" t="s">
        <v>2147</v>
      </c>
    </row>
    <row r="82" spans="2:13">
      <c r="B82" t="s">
        <v>153</v>
      </c>
      <c r="C82" t="s">
        <v>1551</v>
      </c>
      <c r="D82" t="s">
        <v>2290</v>
      </c>
      <c r="E82" s="382" t="s">
        <v>117</v>
      </c>
      <c r="F82" s="384" t="s">
        <v>117</v>
      </c>
      <c r="G82" s="381">
        <v>80</v>
      </c>
      <c r="H82" t="s">
        <v>2307</v>
      </c>
      <c r="I82" t="str">
        <f t="shared" si="4"/>
        <v>DDR4_DQS_Receiver_NA_NA_80_PD500</v>
      </c>
      <c r="J82" t="s">
        <v>2005</v>
      </c>
      <c r="K82" t="s">
        <v>2148</v>
      </c>
      <c r="L82" t="s">
        <v>2054</v>
      </c>
      <c r="M82" t="s">
        <v>2148</v>
      </c>
    </row>
    <row r="83" spans="2:13">
      <c r="B83" t="s">
        <v>153</v>
      </c>
      <c r="C83" t="s">
        <v>1551</v>
      </c>
      <c r="D83" t="s">
        <v>2290</v>
      </c>
      <c r="E83" s="382" t="s">
        <v>117</v>
      </c>
      <c r="F83" s="384" t="s">
        <v>117</v>
      </c>
      <c r="G83" s="381">
        <v>80</v>
      </c>
      <c r="H83" t="s">
        <v>2308</v>
      </c>
      <c r="I83" t="str">
        <f t="shared" si="4"/>
        <v>DDR4_DQS_Receiver_NA_NA_80_PD620</v>
      </c>
      <c r="J83" t="s">
        <v>2006</v>
      </c>
      <c r="K83" t="s">
        <v>2149</v>
      </c>
      <c r="L83" t="s">
        <v>2055</v>
      </c>
      <c r="M83" t="s">
        <v>2149</v>
      </c>
    </row>
    <row r="84" spans="2:13">
      <c r="B84" t="s">
        <v>153</v>
      </c>
      <c r="C84" t="s">
        <v>1551</v>
      </c>
      <c r="D84" t="s">
        <v>2290</v>
      </c>
      <c r="E84" s="382" t="s">
        <v>117</v>
      </c>
      <c r="F84" s="384" t="s">
        <v>117</v>
      </c>
      <c r="G84" s="381">
        <v>80</v>
      </c>
      <c r="H84" t="s">
        <v>2309</v>
      </c>
      <c r="I84" t="str">
        <f t="shared" si="4"/>
        <v>DDR4_DQS_Receiver_NA_NA_80_PU415</v>
      </c>
      <c r="J84" t="s">
        <v>2007</v>
      </c>
      <c r="K84" t="s">
        <v>2150</v>
      </c>
      <c r="L84" t="s">
        <v>2056</v>
      </c>
      <c r="M84" t="s">
        <v>2150</v>
      </c>
    </row>
    <row r="85" spans="2:13">
      <c r="B85" t="s">
        <v>153</v>
      </c>
      <c r="C85" t="s">
        <v>1551</v>
      </c>
      <c r="D85" t="s">
        <v>2290</v>
      </c>
      <c r="E85" s="382" t="s">
        <v>117</v>
      </c>
      <c r="F85" s="384" t="s">
        <v>117</v>
      </c>
      <c r="G85" s="381">
        <v>80</v>
      </c>
      <c r="H85" t="s">
        <v>2310</v>
      </c>
      <c r="I85" t="str">
        <f t="shared" si="4"/>
        <v>DDR4_DQS_Receiver_NA_NA_80_PU500</v>
      </c>
      <c r="J85" t="s">
        <v>2008</v>
      </c>
      <c r="K85" t="s">
        <v>2151</v>
      </c>
      <c r="L85" t="s">
        <v>2057</v>
      </c>
      <c r="M85" t="s">
        <v>2151</v>
      </c>
    </row>
    <row r="86" spans="2:13">
      <c r="B86" t="s">
        <v>153</v>
      </c>
      <c r="C86" t="s">
        <v>1551</v>
      </c>
      <c r="D86" t="s">
        <v>2290</v>
      </c>
      <c r="E86" s="382" t="s">
        <v>117</v>
      </c>
      <c r="F86" s="384" t="s">
        <v>117</v>
      </c>
      <c r="G86" s="381">
        <v>80</v>
      </c>
      <c r="H86" t="s">
        <v>2311</v>
      </c>
      <c r="I86" t="str">
        <f t="shared" si="4"/>
        <v>DDR4_DQS_Receiver_NA_NA_80_PU620</v>
      </c>
      <c r="J86" t="s">
        <v>2009</v>
      </c>
      <c r="K86" t="s">
        <v>2152</v>
      </c>
      <c r="L86" t="s">
        <v>2058</v>
      </c>
      <c r="M86" t="s">
        <v>2152</v>
      </c>
    </row>
    <row r="87" spans="2:13">
      <c r="B87" t="s">
        <v>153</v>
      </c>
      <c r="C87" t="s">
        <v>1551</v>
      </c>
      <c r="D87" t="s">
        <v>2290</v>
      </c>
      <c r="E87" s="382" t="s">
        <v>117</v>
      </c>
      <c r="F87" s="384" t="s">
        <v>117</v>
      </c>
      <c r="G87" s="381">
        <v>80</v>
      </c>
      <c r="H87" t="s">
        <v>2312</v>
      </c>
      <c r="I87" t="str">
        <f t="shared" si="4"/>
        <v>DDR4_DQS_Receiver_NA_NA_80_NONE</v>
      </c>
      <c r="J87" t="s">
        <v>2010</v>
      </c>
      <c r="K87" t="s">
        <v>2153</v>
      </c>
      <c r="L87" t="s">
        <v>2059</v>
      </c>
      <c r="M87" t="s">
        <v>2153</v>
      </c>
    </row>
    <row r="88" spans="2:13">
      <c r="B88" t="s">
        <v>153</v>
      </c>
      <c r="C88" t="s">
        <v>1551</v>
      </c>
      <c r="D88" t="s">
        <v>2290</v>
      </c>
      <c r="E88" s="382" t="s">
        <v>117</v>
      </c>
      <c r="F88" s="384" t="s">
        <v>117</v>
      </c>
      <c r="G88" s="381">
        <v>120</v>
      </c>
      <c r="H88" t="s">
        <v>2306</v>
      </c>
      <c r="I88" t="str">
        <f t="shared" si="4"/>
        <v>DDR4_DQS_Receiver_NA_NA_120_PD415</v>
      </c>
      <c r="J88" t="s">
        <v>1962</v>
      </c>
      <c r="K88" t="s">
        <v>2111</v>
      </c>
      <c r="L88" t="s">
        <v>2011</v>
      </c>
      <c r="M88" t="s">
        <v>2111</v>
      </c>
    </row>
    <row r="89" spans="2:13">
      <c r="B89" t="s">
        <v>153</v>
      </c>
      <c r="C89" t="s">
        <v>1551</v>
      </c>
      <c r="D89" t="s">
        <v>2290</v>
      </c>
      <c r="E89" s="382" t="s">
        <v>117</v>
      </c>
      <c r="F89" s="384" t="s">
        <v>117</v>
      </c>
      <c r="G89" s="381">
        <v>120</v>
      </c>
      <c r="H89" t="s">
        <v>2307</v>
      </c>
      <c r="I89" t="str">
        <f t="shared" si="4"/>
        <v>DDR4_DQS_Receiver_NA_NA_120_PD500</v>
      </c>
      <c r="J89" t="s">
        <v>1963</v>
      </c>
      <c r="K89" t="s">
        <v>2112</v>
      </c>
      <c r="L89" t="s">
        <v>2012</v>
      </c>
      <c r="M89" t="s">
        <v>2112</v>
      </c>
    </row>
    <row r="90" spans="2:13">
      <c r="B90" t="s">
        <v>153</v>
      </c>
      <c r="C90" t="s">
        <v>1551</v>
      </c>
      <c r="D90" t="s">
        <v>2290</v>
      </c>
      <c r="E90" s="382" t="s">
        <v>117</v>
      </c>
      <c r="F90" s="384" t="s">
        <v>117</v>
      </c>
      <c r="G90" s="381">
        <v>120</v>
      </c>
      <c r="H90" t="s">
        <v>2308</v>
      </c>
      <c r="I90" t="str">
        <f t="shared" si="4"/>
        <v>DDR4_DQS_Receiver_NA_NA_120_PD620</v>
      </c>
      <c r="J90" t="s">
        <v>1964</v>
      </c>
      <c r="K90" t="s">
        <v>2113</v>
      </c>
      <c r="L90" t="s">
        <v>2013</v>
      </c>
      <c r="M90" t="s">
        <v>2113</v>
      </c>
    </row>
    <row r="91" spans="2:13">
      <c r="B91" t="s">
        <v>153</v>
      </c>
      <c r="C91" t="s">
        <v>1551</v>
      </c>
      <c r="D91" t="s">
        <v>2290</v>
      </c>
      <c r="E91" s="382" t="s">
        <v>117</v>
      </c>
      <c r="F91" s="384" t="s">
        <v>117</v>
      </c>
      <c r="G91" s="381">
        <v>120</v>
      </c>
      <c r="H91" t="s">
        <v>2309</v>
      </c>
      <c r="I91" t="str">
        <f t="shared" si="4"/>
        <v>DDR4_DQS_Receiver_NA_NA_120_PU415</v>
      </c>
      <c r="J91" t="s">
        <v>1965</v>
      </c>
      <c r="K91" t="s">
        <v>2114</v>
      </c>
      <c r="L91" t="s">
        <v>2014</v>
      </c>
      <c r="M91" t="s">
        <v>2114</v>
      </c>
    </row>
    <row r="92" spans="2:13">
      <c r="B92" t="s">
        <v>153</v>
      </c>
      <c r="C92" t="s">
        <v>1551</v>
      </c>
      <c r="D92" t="s">
        <v>2290</v>
      </c>
      <c r="E92" s="382" t="s">
        <v>117</v>
      </c>
      <c r="F92" s="384" t="s">
        <v>117</v>
      </c>
      <c r="G92" s="381">
        <v>120</v>
      </c>
      <c r="H92" t="s">
        <v>2310</v>
      </c>
      <c r="I92" t="str">
        <f t="shared" si="4"/>
        <v>DDR4_DQS_Receiver_NA_NA_120_PU500</v>
      </c>
      <c r="J92" t="s">
        <v>1966</v>
      </c>
      <c r="K92" t="s">
        <v>2115</v>
      </c>
      <c r="L92" t="s">
        <v>2015</v>
      </c>
      <c r="M92" t="s">
        <v>2115</v>
      </c>
    </row>
    <row r="93" spans="2:13">
      <c r="B93" t="s">
        <v>153</v>
      </c>
      <c r="C93" t="s">
        <v>1551</v>
      </c>
      <c r="D93" t="s">
        <v>2290</v>
      </c>
      <c r="E93" s="382" t="s">
        <v>117</v>
      </c>
      <c r="F93" s="384" t="s">
        <v>117</v>
      </c>
      <c r="G93" s="381">
        <v>120</v>
      </c>
      <c r="H93" t="s">
        <v>2311</v>
      </c>
      <c r="I93" t="str">
        <f t="shared" si="4"/>
        <v>DDR4_DQS_Receiver_NA_NA_120_PU620</v>
      </c>
      <c r="J93" t="s">
        <v>1967</v>
      </c>
      <c r="K93" t="s">
        <v>2116</v>
      </c>
      <c r="L93" t="s">
        <v>2016</v>
      </c>
      <c r="M93" t="s">
        <v>2116</v>
      </c>
    </row>
    <row r="94" spans="2:13">
      <c r="B94" t="s">
        <v>153</v>
      </c>
      <c r="C94" t="s">
        <v>1551</v>
      </c>
      <c r="D94" t="s">
        <v>2290</v>
      </c>
      <c r="E94" s="382" t="s">
        <v>117</v>
      </c>
      <c r="F94" s="384" t="s">
        <v>117</v>
      </c>
      <c r="G94" s="381">
        <v>120</v>
      </c>
      <c r="H94" t="s">
        <v>2312</v>
      </c>
      <c r="I94" t="str">
        <f t="shared" si="4"/>
        <v>DDR4_DQS_Receiver_NA_NA_120_NONE</v>
      </c>
      <c r="J94" t="s">
        <v>1968</v>
      </c>
      <c r="K94" t="s">
        <v>2117</v>
      </c>
      <c r="L94" t="s">
        <v>2017</v>
      </c>
      <c r="M94" t="s">
        <v>2117</v>
      </c>
    </row>
    <row r="95" spans="2:13">
      <c r="B95" t="s">
        <v>153</v>
      </c>
      <c r="C95" t="s">
        <v>1551</v>
      </c>
      <c r="D95" t="s">
        <v>2290</v>
      </c>
      <c r="E95" s="382" t="s">
        <v>117</v>
      </c>
      <c r="F95" s="384" t="s">
        <v>117</v>
      </c>
      <c r="G95" s="381">
        <v>240</v>
      </c>
      <c r="H95" t="s">
        <v>2306</v>
      </c>
      <c r="I95" t="str">
        <f t="shared" si="4"/>
        <v>DDR4_DQS_Receiver_NA_NA_240_PD415</v>
      </c>
      <c r="J95" t="s">
        <v>1969</v>
      </c>
      <c r="K95" t="s">
        <v>2118</v>
      </c>
      <c r="L95" t="s">
        <v>2018</v>
      </c>
      <c r="M95" t="s">
        <v>2118</v>
      </c>
    </row>
    <row r="96" spans="2:13">
      <c r="B96" t="s">
        <v>153</v>
      </c>
      <c r="C96" t="s">
        <v>1551</v>
      </c>
      <c r="D96" t="s">
        <v>2290</v>
      </c>
      <c r="E96" s="382" t="s">
        <v>117</v>
      </c>
      <c r="F96" s="384" t="s">
        <v>117</v>
      </c>
      <c r="G96" s="381">
        <v>240</v>
      </c>
      <c r="H96" t="s">
        <v>2307</v>
      </c>
      <c r="I96" t="str">
        <f t="shared" si="4"/>
        <v>DDR4_DQS_Receiver_NA_NA_240_PD500</v>
      </c>
      <c r="J96" t="s">
        <v>1970</v>
      </c>
      <c r="K96" t="s">
        <v>2119</v>
      </c>
      <c r="L96" t="s">
        <v>2019</v>
      </c>
      <c r="M96" t="s">
        <v>2119</v>
      </c>
    </row>
    <row r="97" spans="2:13">
      <c r="B97" t="s">
        <v>153</v>
      </c>
      <c r="C97" t="s">
        <v>1551</v>
      </c>
      <c r="D97" t="s">
        <v>2290</v>
      </c>
      <c r="E97" s="382" t="s">
        <v>117</v>
      </c>
      <c r="F97" s="384" t="s">
        <v>117</v>
      </c>
      <c r="G97" s="381">
        <v>240</v>
      </c>
      <c r="H97" t="s">
        <v>2308</v>
      </c>
      <c r="I97" t="str">
        <f t="shared" si="4"/>
        <v>DDR4_DQS_Receiver_NA_NA_240_PD620</v>
      </c>
      <c r="J97" t="s">
        <v>1971</v>
      </c>
      <c r="K97" t="s">
        <v>2120</v>
      </c>
      <c r="L97" t="s">
        <v>2020</v>
      </c>
      <c r="M97" t="s">
        <v>2120</v>
      </c>
    </row>
    <row r="98" spans="2:13">
      <c r="B98" t="s">
        <v>153</v>
      </c>
      <c r="C98" t="s">
        <v>1551</v>
      </c>
      <c r="D98" t="s">
        <v>2290</v>
      </c>
      <c r="E98" s="382" t="s">
        <v>117</v>
      </c>
      <c r="F98" s="384" t="s">
        <v>117</v>
      </c>
      <c r="G98" s="381">
        <v>240</v>
      </c>
      <c r="H98" t="s">
        <v>2309</v>
      </c>
      <c r="I98" t="str">
        <f t="shared" si="4"/>
        <v>DDR4_DQS_Receiver_NA_NA_240_PU415</v>
      </c>
      <c r="J98" t="s">
        <v>1972</v>
      </c>
      <c r="K98" t="s">
        <v>2121</v>
      </c>
      <c r="L98" t="s">
        <v>2021</v>
      </c>
      <c r="M98" t="s">
        <v>2121</v>
      </c>
    </row>
    <row r="99" spans="2:13">
      <c r="B99" t="s">
        <v>153</v>
      </c>
      <c r="C99" t="s">
        <v>1551</v>
      </c>
      <c r="D99" t="s">
        <v>2290</v>
      </c>
      <c r="E99" s="382" t="s">
        <v>117</v>
      </c>
      <c r="F99" s="384" t="s">
        <v>117</v>
      </c>
      <c r="G99" s="381">
        <v>240</v>
      </c>
      <c r="H99" t="s">
        <v>2310</v>
      </c>
      <c r="I99" t="str">
        <f t="shared" si="4"/>
        <v>DDR4_DQS_Receiver_NA_NA_240_PU500</v>
      </c>
      <c r="J99" t="s">
        <v>1973</v>
      </c>
      <c r="K99" t="s">
        <v>2122</v>
      </c>
      <c r="L99" t="s">
        <v>2022</v>
      </c>
      <c r="M99" t="s">
        <v>2122</v>
      </c>
    </row>
    <row r="100" spans="2:13">
      <c r="B100" t="s">
        <v>153</v>
      </c>
      <c r="C100" t="s">
        <v>1551</v>
      </c>
      <c r="D100" t="s">
        <v>2290</v>
      </c>
      <c r="E100" s="382" t="s">
        <v>117</v>
      </c>
      <c r="F100" s="384" t="s">
        <v>117</v>
      </c>
      <c r="G100" s="381">
        <v>240</v>
      </c>
      <c r="H100" t="s">
        <v>2311</v>
      </c>
      <c r="I100" t="str">
        <f t="shared" si="4"/>
        <v>DDR4_DQS_Receiver_NA_NA_240_PU620</v>
      </c>
      <c r="J100" t="s">
        <v>1974</v>
      </c>
      <c r="K100" t="s">
        <v>2123</v>
      </c>
      <c r="L100" t="s">
        <v>2023</v>
      </c>
      <c r="M100" t="s">
        <v>2123</v>
      </c>
    </row>
    <row r="101" spans="2:13">
      <c r="B101" t="s">
        <v>153</v>
      </c>
      <c r="C101" t="s">
        <v>1551</v>
      </c>
      <c r="D101" t="s">
        <v>2290</v>
      </c>
      <c r="E101" s="382" t="s">
        <v>117</v>
      </c>
      <c r="F101" s="384" t="s">
        <v>117</v>
      </c>
      <c r="G101" s="381">
        <v>240</v>
      </c>
      <c r="H101" t="s">
        <v>2312</v>
      </c>
      <c r="I101" t="str">
        <f t="shared" si="4"/>
        <v>DDR4_DQS_Receiver_NA_NA_240_NONE</v>
      </c>
      <c r="J101" t="s">
        <v>1975</v>
      </c>
      <c r="K101" t="s">
        <v>2124</v>
      </c>
      <c r="L101" t="s">
        <v>2024</v>
      </c>
      <c r="M101" t="s">
        <v>2124</v>
      </c>
    </row>
    <row r="102" spans="2:13">
      <c r="B102" t="s">
        <v>154</v>
      </c>
      <c r="C102" t="s">
        <v>1550</v>
      </c>
      <c r="D102" t="s">
        <v>2289</v>
      </c>
      <c r="E102" s="382" t="s">
        <v>2293</v>
      </c>
      <c r="F102" s="381">
        <v>40</v>
      </c>
      <c r="G102" s="384" t="s">
        <v>117</v>
      </c>
      <c r="H102" t="s">
        <v>117</v>
      </c>
      <c r="I102" t="str">
        <f t="shared" si="4"/>
        <v>LPDDR4_Clock_Driver_00_40_NA_NA</v>
      </c>
      <c r="J102" t="s">
        <v>1584</v>
      </c>
      <c r="K102" t="s">
        <v>1628</v>
      </c>
    </row>
    <row r="103" spans="2:13">
      <c r="B103" t="s">
        <v>154</v>
      </c>
      <c r="C103" t="s">
        <v>1550</v>
      </c>
      <c r="D103" t="s">
        <v>2289</v>
      </c>
      <c r="E103" s="382" t="s">
        <v>2294</v>
      </c>
      <c r="F103" s="381">
        <v>40</v>
      </c>
      <c r="G103" s="384" t="s">
        <v>117</v>
      </c>
      <c r="H103" t="s">
        <v>117</v>
      </c>
      <c r="I103" t="str">
        <f t="shared" si="4"/>
        <v>LPDDR4_Clock_Driver_01_40_NA_NA</v>
      </c>
      <c r="J103" t="s">
        <v>1585</v>
      </c>
      <c r="K103" t="s">
        <v>1629</v>
      </c>
    </row>
    <row r="104" spans="2:13">
      <c r="B104" t="s">
        <v>154</v>
      </c>
      <c r="C104" t="s">
        <v>1550</v>
      </c>
      <c r="D104" t="s">
        <v>2289</v>
      </c>
      <c r="E104" s="382" t="s">
        <v>2295</v>
      </c>
      <c r="F104" s="381">
        <v>40</v>
      </c>
      <c r="G104" s="384" t="s">
        <v>117</v>
      </c>
      <c r="H104" t="s">
        <v>117</v>
      </c>
      <c r="I104" t="str">
        <f t="shared" si="4"/>
        <v>LPDDR4_Clock_Driver_10_40_NA_NA</v>
      </c>
      <c r="J104" t="s">
        <v>1586</v>
      </c>
      <c r="K104" t="s">
        <v>1630</v>
      </c>
    </row>
    <row r="105" spans="2:13">
      <c r="B105" t="s">
        <v>154</v>
      </c>
      <c r="C105" t="s">
        <v>1550</v>
      </c>
      <c r="D105" t="s">
        <v>2289</v>
      </c>
      <c r="E105" s="382" t="s">
        <v>2296</v>
      </c>
      <c r="F105" s="381">
        <v>40</v>
      </c>
      <c r="G105" s="384" t="s">
        <v>117</v>
      </c>
      <c r="H105" t="s">
        <v>117</v>
      </c>
      <c r="I105" t="str">
        <f t="shared" si="4"/>
        <v>LPDDR4_Clock_Driver_11_40_NA_NA</v>
      </c>
      <c r="J105" t="s">
        <v>1587</v>
      </c>
      <c r="K105" t="s">
        <v>1631</v>
      </c>
    </row>
    <row r="106" spans="2:13">
      <c r="B106" t="s">
        <v>154</v>
      </c>
      <c r="C106" t="s">
        <v>1550</v>
      </c>
      <c r="D106" t="s">
        <v>2289</v>
      </c>
      <c r="E106" s="382" t="s">
        <v>2293</v>
      </c>
      <c r="F106" s="381">
        <v>60</v>
      </c>
      <c r="G106" s="384" t="s">
        <v>117</v>
      </c>
      <c r="H106" t="s">
        <v>117</v>
      </c>
      <c r="I106" t="str">
        <f t="shared" si="4"/>
        <v>LPDDR4_Clock_Driver_00_60_NA_NA</v>
      </c>
      <c r="J106" t="s">
        <v>1588</v>
      </c>
      <c r="K106" t="s">
        <v>1632</v>
      </c>
    </row>
    <row r="107" spans="2:13">
      <c r="B107" t="s">
        <v>154</v>
      </c>
      <c r="C107" t="s">
        <v>1550</v>
      </c>
      <c r="D107" t="s">
        <v>2289</v>
      </c>
      <c r="E107" s="382" t="s">
        <v>2294</v>
      </c>
      <c r="F107" s="381">
        <v>60</v>
      </c>
      <c r="G107" s="384" t="s">
        <v>117</v>
      </c>
      <c r="H107" t="s">
        <v>117</v>
      </c>
      <c r="I107" t="str">
        <f t="shared" si="4"/>
        <v>LPDDR4_Clock_Driver_01_60_NA_NA</v>
      </c>
      <c r="J107" t="s">
        <v>1589</v>
      </c>
      <c r="K107" t="s">
        <v>1633</v>
      </c>
    </row>
    <row r="108" spans="2:13">
      <c r="B108" t="s">
        <v>154</v>
      </c>
      <c r="C108" t="s">
        <v>1550</v>
      </c>
      <c r="D108" t="s">
        <v>2289</v>
      </c>
      <c r="E108" s="382" t="s">
        <v>2295</v>
      </c>
      <c r="F108" s="381">
        <v>60</v>
      </c>
      <c r="G108" s="384" t="s">
        <v>117</v>
      </c>
      <c r="H108" t="s">
        <v>117</v>
      </c>
      <c r="I108" t="str">
        <f t="shared" si="4"/>
        <v>LPDDR4_Clock_Driver_10_60_NA_NA</v>
      </c>
      <c r="J108" t="s">
        <v>1590</v>
      </c>
      <c r="K108" t="s">
        <v>1634</v>
      </c>
    </row>
    <row r="109" spans="2:13">
      <c r="B109" t="s">
        <v>154</v>
      </c>
      <c r="C109" t="s">
        <v>1550</v>
      </c>
      <c r="D109" t="s">
        <v>2289</v>
      </c>
      <c r="E109" s="382" t="s">
        <v>2296</v>
      </c>
      <c r="F109" s="381">
        <v>60</v>
      </c>
      <c r="G109" s="384" t="s">
        <v>117</v>
      </c>
      <c r="H109" t="s">
        <v>117</v>
      </c>
      <c r="I109" t="str">
        <f t="shared" si="4"/>
        <v>LPDDR4_Clock_Driver_11_60_NA_NA</v>
      </c>
      <c r="J109" t="s">
        <v>1591</v>
      </c>
      <c r="K109" t="s">
        <v>1635</v>
      </c>
    </row>
    <row r="110" spans="2:13">
      <c r="B110" t="s">
        <v>154</v>
      </c>
      <c r="C110" t="s">
        <v>1550</v>
      </c>
      <c r="D110" t="s">
        <v>2289</v>
      </c>
      <c r="E110" s="382" t="s">
        <v>2293</v>
      </c>
      <c r="F110" s="381">
        <v>48</v>
      </c>
      <c r="G110" s="384" t="s">
        <v>117</v>
      </c>
      <c r="H110" t="s">
        <v>117</v>
      </c>
      <c r="I110" t="str">
        <f t="shared" si="4"/>
        <v>LPDDR4_Clock_Driver_00_48_NA_NA</v>
      </c>
      <c r="J110" t="s">
        <v>1592</v>
      </c>
      <c r="K110" t="s">
        <v>1636</v>
      </c>
    </row>
    <row r="111" spans="2:13">
      <c r="B111" t="s">
        <v>154</v>
      </c>
      <c r="C111" t="s">
        <v>1550</v>
      </c>
      <c r="D111" t="s">
        <v>2289</v>
      </c>
      <c r="E111" s="382" t="s">
        <v>2294</v>
      </c>
      <c r="F111" s="381">
        <v>48</v>
      </c>
      <c r="G111" s="384" t="s">
        <v>117</v>
      </c>
      <c r="H111" t="s">
        <v>117</v>
      </c>
      <c r="I111" t="str">
        <f t="shared" si="4"/>
        <v>LPDDR4_Clock_Driver_01_48_NA_NA</v>
      </c>
      <c r="J111" t="s">
        <v>1593</v>
      </c>
      <c r="K111" t="s">
        <v>1637</v>
      </c>
    </row>
    <row r="112" spans="2:13">
      <c r="B112" t="s">
        <v>154</v>
      </c>
      <c r="C112" t="s">
        <v>1550</v>
      </c>
      <c r="D112" t="s">
        <v>2289</v>
      </c>
      <c r="E112" s="382" t="s">
        <v>2295</v>
      </c>
      <c r="F112" s="381">
        <v>48</v>
      </c>
      <c r="G112" s="384" t="s">
        <v>117</v>
      </c>
      <c r="H112" t="s">
        <v>117</v>
      </c>
      <c r="I112" t="str">
        <f t="shared" si="4"/>
        <v>LPDDR4_Clock_Driver_10_48_NA_NA</v>
      </c>
      <c r="J112" t="s">
        <v>1594</v>
      </c>
      <c r="K112" t="s">
        <v>1638</v>
      </c>
    </row>
    <row r="113" spans="2:11">
      <c r="B113" t="s">
        <v>154</v>
      </c>
      <c r="C113" t="s">
        <v>1550</v>
      </c>
      <c r="D113" t="s">
        <v>2289</v>
      </c>
      <c r="E113" s="382" t="s">
        <v>2296</v>
      </c>
      <c r="F113" s="381">
        <v>48</v>
      </c>
      <c r="G113" s="384" t="s">
        <v>117</v>
      </c>
      <c r="H113" t="s">
        <v>117</v>
      </c>
      <c r="I113" t="str">
        <f t="shared" si="4"/>
        <v>LPDDR4_Clock_Driver_11_48_NA_NA</v>
      </c>
      <c r="J113" t="s">
        <v>1595</v>
      </c>
      <c r="K113" t="s">
        <v>1639</v>
      </c>
    </row>
    <row r="114" spans="2:11">
      <c r="B114" t="s">
        <v>154</v>
      </c>
      <c r="C114" t="s">
        <v>1550</v>
      </c>
      <c r="D114" t="s">
        <v>2289</v>
      </c>
      <c r="E114" s="382" t="s">
        <v>2293</v>
      </c>
      <c r="F114" s="381">
        <v>80</v>
      </c>
      <c r="G114" s="384" t="s">
        <v>117</v>
      </c>
      <c r="H114" t="s">
        <v>117</v>
      </c>
      <c r="I114" t="str">
        <f t="shared" si="4"/>
        <v>LPDDR4_Clock_Driver_00_80_NA_NA</v>
      </c>
      <c r="J114" t="s">
        <v>1596</v>
      </c>
      <c r="K114" t="s">
        <v>1640</v>
      </c>
    </row>
    <row r="115" spans="2:11">
      <c r="B115" t="s">
        <v>154</v>
      </c>
      <c r="C115" t="s">
        <v>1550</v>
      </c>
      <c r="D115" t="s">
        <v>2289</v>
      </c>
      <c r="E115" s="382" t="s">
        <v>2294</v>
      </c>
      <c r="F115" s="381">
        <v>80</v>
      </c>
      <c r="G115" s="384" t="s">
        <v>117</v>
      </c>
      <c r="H115" t="s">
        <v>117</v>
      </c>
      <c r="I115" t="str">
        <f t="shared" si="4"/>
        <v>LPDDR4_Clock_Driver_01_80_NA_NA</v>
      </c>
      <c r="J115" t="s">
        <v>1597</v>
      </c>
      <c r="K115" t="s">
        <v>1641</v>
      </c>
    </row>
    <row r="116" spans="2:11">
      <c r="B116" t="s">
        <v>154</v>
      </c>
      <c r="C116" t="s">
        <v>1550</v>
      </c>
      <c r="D116" t="s">
        <v>2289</v>
      </c>
      <c r="E116" s="382" t="s">
        <v>2295</v>
      </c>
      <c r="F116" s="381">
        <v>80</v>
      </c>
      <c r="G116" s="384" t="s">
        <v>117</v>
      </c>
      <c r="H116" t="s">
        <v>117</v>
      </c>
      <c r="I116" t="str">
        <f t="shared" si="4"/>
        <v>LPDDR4_Clock_Driver_10_80_NA_NA</v>
      </c>
      <c r="J116" t="s">
        <v>1598</v>
      </c>
      <c r="K116" t="s">
        <v>1642</v>
      </c>
    </row>
    <row r="117" spans="2:11">
      <c r="B117" t="s">
        <v>154</v>
      </c>
      <c r="C117" t="s">
        <v>1550</v>
      </c>
      <c r="D117" t="s">
        <v>2289</v>
      </c>
      <c r="E117" s="382" t="s">
        <v>2296</v>
      </c>
      <c r="F117" s="381">
        <v>80</v>
      </c>
      <c r="G117" s="384" t="s">
        <v>117</v>
      </c>
      <c r="H117" t="s">
        <v>117</v>
      </c>
      <c r="I117" t="str">
        <f t="shared" si="4"/>
        <v>LPDDR4_Clock_Driver_11_80_NA_NA</v>
      </c>
      <c r="J117" t="s">
        <v>1599</v>
      </c>
      <c r="K117" t="s">
        <v>1643</v>
      </c>
    </row>
    <row r="118" spans="2:11">
      <c r="B118" t="s">
        <v>154</v>
      </c>
      <c r="C118" t="s">
        <v>1550</v>
      </c>
      <c r="D118" t="s">
        <v>2289</v>
      </c>
      <c r="E118" s="382" t="s">
        <v>2293</v>
      </c>
      <c r="F118" s="381">
        <v>96</v>
      </c>
      <c r="G118" s="384" t="s">
        <v>117</v>
      </c>
      <c r="H118" t="s">
        <v>117</v>
      </c>
      <c r="I118" t="str">
        <f t="shared" si="4"/>
        <v>LPDDR4_Clock_Driver_00_96_NA_NA</v>
      </c>
      <c r="J118" t="s">
        <v>1600</v>
      </c>
      <c r="K118" t="s">
        <v>1644</v>
      </c>
    </row>
    <row r="119" spans="2:11">
      <c r="B119" t="s">
        <v>154</v>
      </c>
      <c r="C119" t="s">
        <v>1550</v>
      </c>
      <c r="D119" t="s">
        <v>2289</v>
      </c>
      <c r="E119" s="382" t="s">
        <v>2294</v>
      </c>
      <c r="F119" s="381">
        <v>96</v>
      </c>
      <c r="G119" s="384" t="s">
        <v>117</v>
      </c>
      <c r="H119" t="s">
        <v>117</v>
      </c>
      <c r="I119" t="str">
        <f t="shared" si="4"/>
        <v>LPDDR4_Clock_Driver_01_96_NA_NA</v>
      </c>
      <c r="J119" t="s">
        <v>1601</v>
      </c>
      <c r="K119" t="s">
        <v>1645</v>
      </c>
    </row>
    <row r="120" spans="2:11">
      <c r="B120" t="s">
        <v>154</v>
      </c>
      <c r="C120" t="s">
        <v>1550</v>
      </c>
      <c r="D120" t="s">
        <v>2289</v>
      </c>
      <c r="E120" s="382" t="s">
        <v>2295</v>
      </c>
      <c r="F120" s="381">
        <v>96</v>
      </c>
      <c r="G120" s="384" t="s">
        <v>117</v>
      </c>
      <c r="H120" t="s">
        <v>117</v>
      </c>
      <c r="I120" t="str">
        <f t="shared" si="4"/>
        <v>LPDDR4_Clock_Driver_10_96_NA_NA</v>
      </c>
      <c r="J120" t="s">
        <v>1602</v>
      </c>
      <c r="K120" t="s">
        <v>1646</v>
      </c>
    </row>
    <row r="121" spans="2:11">
      <c r="B121" t="s">
        <v>154</v>
      </c>
      <c r="C121" t="s">
        <v>1550</v>
      </c>
      <c r="D121" t="s">
        <v>2289</v>
      </c>
      <c r="E121" s="382" t="s">
        <v>2296</v>
      </c>
      <c r="F121" s="381">
        <v>96</v>
      </c>
      <c r="G121" s="384" t="s">
        <v>117</v>
      </c>
      <c r="H121" t="s">
        <v>117</v>
      </c>
      <c r="I121" t="str">
        <f t="shared" si="4"/>
        <v>LPDDR4_Clock_Driver_11_96_NA_NA</v>
      </c>
      <c r="J121" t="s">
        <v>1603</v>
      </c>
      <c r="K121" t="s">
        <v>1647</v>
      </c>
    </row>
    <row r="122" spans="2:11">
      <c r="B122" t="s">
        <v>154</v>
      </c>
      <c r="C122" t="s">
        <v>1550</v>
      </c>
      <c r="D122" t="s">
        <v>2289</v>
      </c>
      <c r="E122" s="382" t="s">
        <v>2293</v>
      </c>
      <c r="F122" s="381">
        <v>120</v>
      </c>
      <c r="G122" s="384" t="s">
        <v>117</v>
      </c>
      <c r="H122" t="s">
        <v>117</v>
      </c>
      <c r="I122" t="str">
        <f t="shared" si="4"/>
        <v>LPDDR4_Clock_Driver_00_120_NA_NA</v>
      </c>
      <c r="J122" t="s">
        <v>1604</v>
      </c>
      <c r="K122" t="s">
        <v>1648</v>
      </c>
    </row>
    <row r="123" spans="2:11">
      <c r="B123" t="s">
        <v>154</v>
      </c>
      <c r="C123" t="s">
        <v>1550</v>
      </c>
      <c r="D123" t="s">
        <v>2289</v>
      </c>
      <c r="E123" s="382" t="s">
        <v>2294</v>
      </c>
      <c r="F123" s="381">
        <v>120</v>
      </c>
      <c r="G123" s="384" t="s">
        <v>117</v>
      </c>
      <c r="H123" t="s">
        <v>117</v>
      </c>
      <c r="I123" t="str">
        <f t="shared" si="4"/>
        <v>LPDDR4_Clock_Driver_01_120_NA_NA</v>
      </c>
      <c r="J123" t="s">
        <v>1605</v>
      </c>
      <c r="K123" t="s">
        <v>1649</v>
      </c>
    </row>
    <row r="124" spans="2:11">
      <c r="B124" t="s">
        <v>154</v>
      </c>
      <c r="C124" t="s">
        <v>1550</v>
      </c>
      <c r="D124" t="s">
        <v>2289</v>
      </c>
      <c r="E124" s="382" t="s">
        <v>2295</v>
      </c>
      <c r="F124" s="381">
        <v>120</v>
      </c>
      <c r="G124" s="384" t="s">
        <v>117</v>
      </c>
      <c r="H124" t="s">
        <v>117</v>
      </c>
      <c r="I124" t="str">
        <f t="shared" si="4"/>
        <v>LPDDR4_Clock_Driver_10_120_NA_NA</v>
      </c>
      <c r="J124" t="s">
        <v>1606</v>
      </c>
      <c r="K124" t="s">
        <v>1650</v>
      </c>
    </row>
    <row r="125" spans="2:11">
      <c r="B125" t="s">
        <v>154</v>
      </c>
      <c r="C125" t="s">
        <v>1550</v>
      </c>
      <c r="D125" t="s">
        <v>2289</v>
      </c>
      <c r="E125" s="382" t="s">
        <v>2296</v>
      </c>
      <c r="F125" s="381">
        <v>120</v>
      </c>
      <c r="G125" s="384" t="s">
        <v>117</v>
      </c>
      <c r="H125" t="s">
        <v>117</v>
      </c>
      <c r="I125" t="str">
        <f t="shared" si="4"/>
        <v>LPDDR4_Clock_Driver_11_120_NA_NA</v>
      </c>
      <c r="J125" t="s">
        <v>1607</v>
      </c>
      <c r="K125" t="s">
        <v>1651</v>
      </c>
    </row>
    <row r="126" spans="2:11">
      <c r="B126" t="s">
        <v>154</v>
      </c>
      <c r="C126" t="s">
        <v>1550</v>
      </c>
      <c r="D126" t="s">
        <v>2289</v>
      </c>
      <c r="E126" s="382" t="s">
        <v>2293</v>
      </c>
      <c r="F126" s="381">
        <v>160</v>
      </c>
      <c r="G126" s="384" t="s">
        <v>117</v>
      </c>
      <c r="H126" t="s">
        <v>117</v>
      </c>
      <c r="I126" t="str">
        <f t="shared" si="4"/>
        <v>LPDDR4_Clock_Driver_00_160_NA_NA</v>
      </c>
      <c r="J126" t="s">
        <v>1608</v>
      </c>
      <c r="K126" t="s">
        <v>1652</v>
      </c>
    </row>
    <row r="127" spans="2:11">
      <c r="B127" t="s">
        <v>154</v>
      </c>
      <c r="C127" t="s">
        <v>1550</v>
      </c>
      <c r="D127" t="s">
        <v>2289</v>
      </c>
      <c r="E127" s="382" t="s">
        <v>2294</v>
      </c>
      <c r="F127" s="381">
        <v>160</v>
      </c>
      <c r="G127" s="384" t="s">
        <v>117</v>
      </c>
      <c r="H127" t="s">
        <v>117</v>
      </c>
      <c r="I127" t="str">
        <f t="shared" si="4"/>
        <v>LPDDR4_Clock_Driver_01_160_NA_NA</v>
      </c>
      <c r="J127" t="s">
        <v>1609</v>
      </c>
      <c r="K127" t="s">
        <v>1653</v>
      </c>
    </row>
    <row r="128" spans="2:11">
      <c r="B128" t="s">
        <v>154</v>
      </c>
      <c r="C128" t="s">
        <v>1550</v>
      </c>
      <c r="D128" t="s">
        <v>2289</v>
      </c>
      <c r="E128" s="382" t="s">
        <v>2295</v>
      </c>
      <c r="F128" s="381">
        <v>160</v>
      </c>
      <c r="G128" s="384" t="s">
        <v>117</v>
      </c>
      <c r="H128" t="s">
        <v>117</v>
      </c>
      <c r="I128" t="str">
        <f t="shared" si="4"/>
        <v>LPDDR4_Clock_Driver_10_160_NA_NA</v>
      </c>
      <c r="J128" t="s">
        <v>1610</v>
      </c>
      <c r="K128" t="s">
        <v>1654</v>
      </c>
    </row>
    <row r="129" spans="2:11">
      <c r="B129" t="s">
        <v>154</v>
      </c>
      <c r="C129" t="s">
        <v>1550</v>
      </c>
      <c r="D129" t="s">
        <v>2289</v>
      </c>
      <c r="E129" s="382" t="s">
        <v>2296</v>
      </c>
      <c r="F129" s="381">
        <v>160</v>
      </c>
      <c r="G129" s="384" t="s">
        <v>117</v>
      </c>
      <c r="H129" t="s">
        <v>117</v>
      </c>
      <c r="I129" t="str">
        <f t="shared" si="4"/>
        <v>LPDDR4_Clock_Driver_11_160_NA_NA</v>
      </c>
      <c r="J129" t="s">
        <v>1611</v>
      </c>
      <c r="K129" t="s">
        <v>1655</v>
      </c>
    </row>
    <row r="130" spans="2:11">
      <c r="B130" t="s">
        <v>154</v>
      </c>
      <c r="C130" t="s">
        <v>1550</v>
      </c>
      <c r="D130" t="s">
        <v>2289</v>
      </c>
      <c r="E130" s="382" t="s">
        <v>2293</v>
      </c>
      <c r="F130" s="381">
        <v>180</v>
      </c>
      <c r="G130" s="384" t="s">
        <v>117</v>
      </c>
      <c r="H130" t="s">
        <v>117</v>
      </c>
      <c r="I130" t="str">
        <f t="shared" si="4"/>
        <v>LPDDR4_Clock_Driver_00_180_NA_NA</v>
      </c>
      <c r="J130" t="s">
        <v>1612</v>
      </c>
      <c r="K130" t="s">
        <v>1656</v>
      </c>
    </row>
    <row r="131" spans="2:11">
      <c r="B131" t="s">
        <v>154</v>
      </c>
      <c r="C131" t="s">
        <v>1550</v>
      </c>
      <c r="D131" t="s">
        <v>2289</v>
      </c>
      <c r="E131" s="382" t="s">
        <v>2294</v>
      </c>
      <c r="F131" s="381">
        <v>180</v>
      </c>
      <c r="G131" s="384" t="s">
        <v>117</v>
      </c>
      <c r="H131" t="s">
        <v>117</v>
      </c>
      <c r="I131" t="str">
        <f t="shared" si="4"/>
        <v>LPDDR4_Clock_Driver_01_180_NA_NA</v>
      </c>
      <c r="J131" t="s">
        <v>1613</v>
      </c>
      <c r="K131" t="s">
        <v>1657</v>
      </c>
    </row>
    <row r="132" spans="2:11">
      <c r="B132" t="s">
        <v>154</v>
      </c>
      <c r="C132" t="s">
        <v>1550</v>
      </c>
      <c r="D132" t="s">
        <v>2289</v>
      </c>
      <c r="E132" s="382" t="s">
        <v>2295</v>
      </c>
      <c r="F132" s="381">
        <v>180</v>
      </c>
      <c r="G132" s="384" t="s">
        <v>117</v>
      </c>
      <c r="H132" t="s">
        <v>117</v>
      </c>
      <c r="I132" t="str">
        <f t="shared" si="4"/>
        <v>LPDDR4_Clock_Driver_10_180_NA_NA</v>
      </c>
      <c r="J132" t="s">
        <v>1614</v>
      </c>
      <c r="K132" t="s">
        <v>1658</v>
      </c>
    </row>
    <row r="133" spans="2:11">
      <c r="B133" t="s">
        <v>154</v>
      </c>
      <c r="C133" t="s">
        <v>1550</v>
      </c>
      <c r="D133" t="s">
        <v>2289</v>
      </c>
      <c r="E133" s="382" t="s">
        <v>2296</v>
      </c>
      <c r="F133" s="381">
        <v>180</v>
      </c>
      <c r="G133" s="384" t="s">
        <v>117</v>
      </c>
      <c r="H133" t="s">
        <v>117</v>
      </c>
      <c r="I133" t="str">
        <f t="shared" si="4"/>
        <v>LPDDR4_Clock_Driver_11_180_NA_NA</v>
      </c>
      <c r="J133" t="s">
        <v>1615</v>
      </c>
      <c r="K133" t="s">
        <v>1659</v>
      </c>
    </row>
    <row r="134" spans="2:11">
      <c r="B134" t="s">
        <v>154</v>
      </c>
      <c r="C134" t="s">
        <v>1550</v>
      </c>
      <c r="D134" t="s">
        <v>2289</v>
      </c>
      <c r="E134" s="382" t="s">
        <v>2293</v>
      </c>
      <c r="F134" s="381">
        <v>240</v>
      </c>
      <c r="G134" s="384" t="s">
        <v>117</v>
      </c>
      <c r="H134" t="s">
        <v>117</v>
      </c>
      <c r="I134" t="str">
        <f t="shared" si="4"/>
        <v>LPDDR4_Clock_Driver_00_240_NA_NA</v>
      </c>
      <c r="J134" t="s">
        <v>1616</v>
      </c>
      <c r="K134" t="s">
        <v>1660</v>
      </c>
    </row>
    <row r="135" spans="2:11">
      <c r="B135" t="s">
        <v>154</v>
      </c>
      <c r="C135" t="s">
        <v>1550</v>
      </c>
      <c r="D135" t="s">
        <v>2289</v>
      </c>
      <c r="E135" s="382" t="s">
        <v>2294</v>
      </c>
      <c r="F135" s="381">
        <v>240</v>
      </c>
      <c r="G135" s="384" t="s">
        <v>117</v>
      </c>
      <c r="H135" t="s">
        <v>117</v>
      </c>
      <c r="I135" t="str">
        <f t="shared" si="4"/>
        <v>LPDDR4_Clock_Driver_01_240_NA_NA</v>
      </c>
      <c r="J135" t="s">
        <v>1617</v>
      </c>
      <c r="K135" t="s">
        <v>1661</v>
      </c>
    </row>
    <row r="136" spans="2:11">
      <c r="B136" t="s">
        <v>154</v>
      </c>
      <c r="C136" t="s">
        <v>1550</v>
      </c>
      <c r="D136" t="s">
        <v>2289</v>
      </c>
      <c r="E136" s="382" t="s">
        <v>2295</v>
      </c>
      <c r="F136" s="381">
        <v>240</v>
      </c>
      <c r="G136" s="384" t="s">
        <v>117</v>
      </c>
      <c r="H136" t="s">
        <v>117</v>
      </c>
      <c r="I136" t="str">
        <f t="shared" si="4"/>
        <v>LPDDR4_Clock_Driver_10_240_NA_NA</v>
      </c>
      <c r="J136" t="s">
        <v>1618</v>
      </c>
      <c r="K136" t="s">
        <v>1662</v>
      </c>
    </row>
    <row r="137" spans="2:11">
      <c r="B137" t="s">
        <v>154</v>
      </c>
      <c r="C137" t="s">
        <v>1550</v>
      </c>
      <c r="D137" t="s">
        <v>2289</v>
      </c>
      <c r="E137" s="382" t="s">
        <v>2296</v>
      </c>
      <c r="F137" s="381">
        <v>240</v>
      </c>
      <c r="G137" s="384" t="s">
        <v>117</v>
      </c>
      <c r="H137" t="s">
        <v>117</v>
      </c>
      <c r="I137" t="str">
        <f t="shared" si="4"/>
        <v>LPDDR4_Clock_Driver_11_240_NA_NA</v>
      </c>
      <c r="J137" t="s">
        <v>1619</v>
      </c>
      <c r="K137" t="s">
        <v>1663</v>
      </c>
    </row>
    <row r="138" spans="2:11">
      <c r="B138" t="s">
        <v>154</v>
      </c>
      <c r="C138" t="s">
        <v>1550</v>
      </c>
      <c r="D138" t="s">
        <v>2289</v>
      </c>
      <c r="E138" s="382" t="s">
        <v>2293</v>
      </c>
      <c r="F138" s="381">
        <v>360</v>
      </c>
      <c r="G138" s="384" t="s">
        <v>117</v>
      </c>
      <c r="H138" t="s">
        <v>117</v>
      </c>
      <c r="I138" t="str">
        <f t="shared" si="4"/>
        <v>LPDDR4_Clock_Driver_00_360_NA_NA</v>
      </c>
      <c r="J138" t="s">
        <v>1620</v>
      </c>
      <c r="K138" t="s">
        <v>1664</v>
      </c>
    </row>
    <row r="139" spans="2:11">
      <c r="B139" t="s">
        <v>154</v>
      </c>
      <c r="C139" t="s">
        <v>1550</v>
      </c>
      <c r="D139" t="s">
        <v>2289</v>
      </c>
      <c r="E139" s="382" t="s">
        <v>2294</v>
      </c>
      <c r="F139" s="381">
        <v>360</v>
      </c>
      <c r="G139" s="384" t="s">
        <v>117</v>
      </c>
      <c r="H139" t="s">
        <v>117</v>
      </c>
      <c r="I139" t="str">
        <f t="shared" si="4"/>
        <v>LPDDR4_Clock_Driver_01_360_NA_NA</v>
      </c>
      <c r="J139" t="s">
        <v>1621</v>
      </c>
      <c r="K139" t="s">
        <v>1665</v>
      </c>
    </row>
    <row r="140" spans="2:11">
      <c r="B140" t="s">
        <v>154</v>
      </c>
      <c r="C140" t="s">
        <v>1550</v>
      </c>
      <c r="D140" t="s">
        <v>2289</v>
      </c>
      <c r="E140" s="382" t="s">
        <v>2295</v>
      </c>
      <c r="F140" s="381">
        <v>360</v>
      </c>
      <c r="G140" s="384" t="s">
        <v>117</v>
      </c>
      <c r="H140" t="s">
        <v>117</v>
      </c>
      <c r="I140" t="str">
        <f t="shared" si="4"/>
        <v>LPDDR4_Clock_Driver_10_360_NA_NA</v>
      </c>
      <c r="J140" t="s">
        <v>1622</v>
      </c>
      <c r="K140" t="s">
        <v>1666</v>
      </c>
    </row>
    <row r="141" spans="2:11">
      <c r="B141" t="s">
        <v>154</v>
      </c>
      <c r="C141" t="s">
        <v>1550</v>
      </c>
      <c r="D141" t="s">
        <v>2289</v>
      </c>
      <c r="E141" s="382" t="s">
        <v>2296</v>
      </c>
      <c r="F141" s="381">
        <v>360</v>
      </c>
      <c r="G141" s="384" t="s">
        <v>117</v>
      </c>
      <c r="H141" t="s">
        <v>117</v>
      </c>
      <c r="I141" t="str">
        <f t="shared" si="4"/>
        <v>LPDDR4_Clock_Driver_11_360_NA_NA</v>
      </c>
      <c r="J141" t="s">
        <v>1623</v>
      </c>
      <c r="K141" t="s">
        <v>1667</v>
      </c>
    </row>
    <row r="142" spans="2:11">
      <c r="B142" t="s">
        <v>154</v>
      </c>
      <c r="C142" t="s">
        <v>1550</v>
      </c>
      <c r="D142" t="s">
        <v>2289</v>
      </c>
      <c r="E142" s="382" t="s">
        <v>2293</v>
      </c>
      <c r="F142" s="381">
        <v>480</v>
      </c>
      <c r="G142" s="384" t="s">
        <v>117</v>
      </c>
      <c r="H142" t="s">
        <v>117</v>
      </c>
      <c r="I142" t="str">
        <f t="shared" si="4"/>
        <v>LPDDR4_Clock_Driver_00_480_NA_NA</v>
      </c>
      <c r="J142" t="s">
        <v>1624</v>
      </c>
      <c r="K142" t="s">
        <v>1668</v>
      </c>
    </row>
    <row r="143" spans="2:11">
      <c r="B143" t="s">
        <v>154</v>
      </c>
      <c r="C143" t="s">
        <v>1550</v>
      </c>
      <c r="D143" t="s">
        <v>2289</v>
      </c>
      <c r="E143" s="382" t="s">
        <v>2294</v>
      </c>
      <c r="F143" s="381">
        <v>480</v>
      </c>
      <c r="G143" s="384" t="s">
        <v>117</v>
      </c>
      <c r="H143" t="s">
        <v>117</v>
      </c>
      <c r="I143" t="str">
        <f t="shared" ref="I143:I206" si="5">CONCATENATE(B143,"_",C143,"_",D143,"_",E143,"_",F143,"_",G143,"_",H143)</f>
        <v>LPDDR4_Clock_Driver_01_480_NA_NA</v>
      </c>
      <c r="J143" t="s">
        <v>1625</v>
      </c>
      <c r="K143" t="s">
        <v>1669</v>
      </c>
    </row>
    <row r="144" spans="2:11">
      <c r="B144" t="s">
        <v>154</v>
      </c>
      <c r="C144" t="s">
        <v>1550</v>
      </c>
      <c r="D144" t="s">
        <v>2289</v>
      </c>
      <c r="E144" s="382" t="s">
        <v>2295</v>
      </c>
      <c r="F144" s="381">
        <v>480</v>
      </c>
      <c r="G144" s="384" t="s">
        <v>117</v>
      </c>
      <c r="H144" t="s">
        <v>117</v>
      </c>
      <c r="I144" t="str">
        <f t="shared" si="5"/>
        <v>LPDDR4_Clock_Driver_10_480_NA_NA</v>
      </c>
      <c r="J144" t="s">
        <v>1626</v>
      </c>
      <c r="K144" t="s">
        <v>1670</v>
      </c>
    </row>
    <row r="145" spans="2:11">
      <c r="B145" t="s">
        <v>154</v>
      </c>
      <c r="C145" t="s">
        <v>1550</v>
      </c>
      <c r="D145" t="s">
        <v>2289</v>
      </c>
      <c r="E145" s="382" t="s">
        <v>2296</v>
      </c>
      <c r="F145" s="381">
        <v>480</v>
      </c>
      <c r="G145" s="384" t="s">
        <v>117</v>
      </c>
      <c r="H145" t="s">
        <v>117</v>
      </c>
      <c r="I145" t="str">
        <f t="shared" si="5"/>
        <v>LPDDR4_Clock_Driver_11_480_NA_NA</v>
      </c>
      <c r="J145" t="s">
        <v>1627</v>
      </c>
      <c r="K145" t="s">
        <v>1671</v>
      </c>
    </row>
    <row r="146" spans="2:11">
      <c r="B146" t="s">
        <v>154</v>
      </c>
      <c r="C146" t="s">
        <v>2323</v>
      </c>
      <c r="D146" t="s">
        <v>2289</v>
      </c>
      <c r="E146" s="382" t="s">
        <v>2293</v>
      </c>
      <c r="F146" s="381">
        <v>40</v>
      </c>
      <c r="G146" s="384" t="s">
        <v>117</v>
      </c>
      <c r="H146" t="s">
        <v>117</v>
      </c>
      <c r="I146" t="str">
        <f t="shared" si="5"/>
        <v>LPDDR4_Data_ACC_Driver_00_40_NA_NA</v>
      </c>
      <c r="J146" t="s">
        <v>1707</v>
      </c>
      <c r="K146" t="s">
        <v>1789</v>
      </c>
    </row>
    <row r="147" spans="2:11">
      <c r="B147" t="s">
        <v>154</v>
      </c>
      <c r="C147" t="s">
        <v>2323</v>
      </c>
      <c r="D147" t="s">
        <v>2289</v>
      </c>
      <c r="E147" s="382" t="s">
        <v>2294</v>
      </c>
      <c r="F147" s="381">
        <v>40</v>
      </c>
      <c r="G147" s="384" t="s">
        <v>117</v>
      </c>
      <c r="H147" t="s">
        <v>117</v>
      </c>
      <c r="I147" t="str">
        <f t="shared" si="5"/>
        <v>LPDDR4_Data_ACC_Driver_01_40_NA_NA</v>
      </c>
      <c r="J147" t="s">
        <v>1708</v>
      </c>
      <c r="K147" t="s">
        <v>1790</v>
      </c>
    </row>
    <row r="148" spans="2:11">
      <c r="B148" t="s">
        <v>154</v>
      </c>
      <c r="C148" t="s">
        <v>2323</v>
      </c>
      <c r="D148" t="s">
        <v>2289</v>
      </c>
      <c r="E148" s="382" t="s">
        <v>2295</v>
      </c>
      <c r="F148" s="381">
        <v>40</v>
      </c>
      <c r="G148" s="384" t="s">
        <v>117</v>
      </c>
      <c r="H148" t="s">
        <v>117</v>
      </c>
      <c r="I148" t="str">
        <f t="shared" si="5"/>
        <v>LPDDR4_Data_ACC_Driver_10_40_NA_NA</v>
      </c>
      <c r="J148" t="s">
        <v>1709</v>
      </c>
      <c r="K148" t="s">
        <v>1791</v>
      </c>
    </row>
    <row r="149" spans="2:11">
      <c r="B149" t="s">
        <v>154</v>
      </c>
      <c r="C149" t="s">
        <v>2323</v>
      </c>
      <c r="D149" t="s">
        <v>2289</v>
      </c>
      <c r="E149" s="382" t="s">
        <v>2296</v>
      </c>
      <c r="F149" s="381">
        <v>40</v>
      </c>
      <c r="G149" s="384" t="s">
        <v>117</v>
      </c>
      <c r="H149" t="s">
        <v>117</v>
      </c>
      <c r="I149" t="str">
        <f t="shared" si="5"/>
        <v>LPDDR4_Data_ACC_Driver_11_40_NA_NA</v>
      </c>
      <c r="J149" t="s">
        <v>1710</v>
      </c>
      <c r="K149" t="s">
        <v>1792</v>
      </c>
    </row>
    <row r="150" spans="2:11">
      <c r="B150" t="s">
        <v>154</v>
      </c>
      <c r="C150" t="s">
        <v>2323</v>
      </c>
      <c r="D150" t="s">
        <v>2289</v>
      </c>
      <c r="E150" s="382" t="s">
        <v>2293</v>
      </c>
      <c r="F150" s="381">
        <v>48</v>
      </c>
      <c r="G150" s="384" t="s">
        <v>117</v>
      </c>
      <c r="H150" t="s">
        <v>117</v>
      </c>
      <c r="I150" t="str">
        <f t="shared" si="5"/>
        <v>LPDDR4_Data_ACC_Driver_00_48_NA_NA</v>
      </c>
      <c r="J150" t="s">
        <v>1711</v>
      </c>
      <c r="K150" t="s">
        <v>1793</v>
      </c>
    </row>
    <row r="151" spans="2:11">
      <c r="B151" t="s">
        <v>154</v>
      </c>
      <c r="C151" t="s">
        <v>2323</v>
      </c>
      <c r="D151" t="s">
        <v>2289</v>
      </c>
      <c r="E151" s="382" t="s">
        <v>2294</v>
      </c>
      <c r="F151" s="381">
        <v>48</v>
      </c>
      <c r="G151" s="384" t="s">
        <v>117</v>
      </c>
      <c r="H151" t="s">
        <v>117</v>
      </c>
      <c r="I151" t="str">
        <f t="shared" si="5"/>
        <v>LPDDR4_Data_ACC_Driver_01_48_NA_NA</v>
      </c>
      <c r="J151" t="s">
        <v>1712</v>
      </c>
      <c r="K151" t="s">
        <v>1794</v>
      </c>
    </row>
    <row r="152" spans="2:11">
      <c r="B152" t="s">
        <v>154</v>
      </c>
      <c r="C152" t="s">
        <v>2323</v>
      </c>
      <c r="D152" t="s">
        <v>2289</v>
      </c>
      <c r="E152" s="382" t="s">
        <v>2295</v>
      </c>
      <c r="F152" s="381">
        <v>48</v>
      </c>
      <c r="G152" s="384" t="s">
        <v>117</v>
      </c>
      <c r="H152" t="s">
        <v>117</v>
      </c>
      <c r="I152" t="str">
        <f t="shared" si="5"/>
        <v>LPDDR4_Data_ACC_Driver_10_48_NA_NA</v>
      </c>
      <c r="J152" t="s">
        <v>1713</v>
      </c>
      <c r="K152" t="s">
        <v>1795</v>
      </c>
    </row>
    <row r="153" spans="2:11">
      <c r="B153" t="s">
        <v>154</v>
      </c>
      <c r="C153" t="s">
        <v>2323</v>
      </c>
      <c r="D153" t="s">
        <v>2289</v>
      </c>
      <c r="E153" s="382" t="s">
        <v>2296</v>
      </c>
      <c r="F153" s="381">
        <v>48</v>
      </c>
      <c r="G153" s="384" t="s">
        <v>117</v>
      </c>
      <c r="H153" t="s">
        <v>117</v>
      </c>
      <c r="I153" t="str">
        <f t="shared" si="5"/>
        <v>LPDDR4_Data_ACC_Driver_11_48_NA_NA</v>
      </c>
      <c r="J153" t="s">
        <v>1714</v>
      </c>
      <c r="K153" t="s">
        <v>1796</v>
      </c>
    </row>
    <row r="154" spans="2:11">
      <c r="B154" t="s">
        <v>154</v>
      </c>
      <c r="C154" t="s">
        <v>2323</v>
      </c>
      <c r="D154" t="s">
        <v>2289</v>
      </c>
      <c r="E154" s="382" t="s">
        <v>2293</v>
      </c>
      <c r="F154" s="381">
        <v>60</v>
      </c>
      <c r="G154" s="384" t="s">
        <v>117</v>
      </c>
      <c r="H154" t="s">
        <v>117</v>
      </c>
      <c r="I154" t="str">
        <f t="shared" si="5"/>
        <v>LPDDR4_Data_ACC_Driver_00_60_NA_NA</v>
      </c>
      <c r="J154" t="s">
        <v>1715</v>
      </c>
      <c r="K154" t="s">
        <v>1797</v>
      </c>
    </row>
    <row r="155" spans="2:11">
      <c r="B155" t="s">
        <v>154</v>
      </c>
      <c r="C155" t="s">
        <v>2323</v>
      </c>
      <c r="D155" t="s">
        <v>2289</v>
      </c>
      <c r="E155" s="382" t="s">
        <v>2294</v>
      </c>
      <c r="F155" s="381">
        <v>60</v>
      </c>
      <c r="G155" s="384" t="s">
        <v>117</v>
      </c>
      <c r="H155" t="s">
        <v>117</v>
      </c>
      <c r="I155" t="str">
        <f t="shared" si="5"/>
        <v>LPDDR4_Data_ACC_Driver_01_60_NA_NA</v>
      </c>
      <c r="J155" t="s">
        <v>1716</v>
      </c>
      <c r="K155" t="s">
        <v>1798</v>
      </c>
    </row>
    <row r="156" spans="2:11">
      <c r="B156" t="s">
        <v>154</v>
      </c>
      <c r="C156" t="s">
        <v>2323</v>
      </c>
      <c r="D156" t="s">
        <v>2289</v>
      </c>
      <c r="E156" s="382" t="s">
        <v>2295</v>
      </c>
      <c r="F156" s="381">
        <v>60</v>
      </c>
      <c r="G156" s="384" t="s">
        <v>117</v>
      </c>
      <c r="H156" t="s">
        <v>117</v>
      </c>
      <c r="I156" t="str">
        <f t="shared" si="5"/>
        <v>LPDDR4_Data_ACC_Driver_10_60_NA_NA</v>
      </c>
      <c r="J156" t="s">
        <v>1717</v>
      </c>
      <c r="K156" t="s">
        <v>1799</v>
      </c>
    </row>
    <row r="157" spans="2:11">
      <c r="B157" t="s">
        <v>154</v>
      </c>
      <c r="C157" t="s">
        <v>2323</v>
      </c>
      <c r="D157" t="s">
        <v>2289</v>
      </c>
      <c r="E157" s="382" t="s">
        <v>2296</v>
      </c>
      <c r="F157" s="381">
        <v>60</v>
      </c>
      <c r="G157" s="384" t="s">
        <v>117</v>
      </c>
      <c r="H157" t="s">
        <v>117</v>
      </c>
      <c r="I157" t="str">
        <f t="shared" si="5"/>
        <v>LPDDR4_Data_ACC_Driver_11_60_NA_NA</v>
      </c>
      <c r="J157" t="s">
        <v>1718</v>
      </c>
      <c r="K157" t="s">
        <v>1800</v>
      </c>
    </row>
    <row r="158" spans="2:11">
      <c r="B158" t="s">
        <v>154</v>
      </c>
      <c r="C158" t="s">
        <v>2323</v>
      </c>
      <c r="D158" t="s">
        <v>2289</v>
      </c>
      <c r="E158" s="382" t="s">
        <v>2293</v>
      </c>
      <c r="F158" s="381">
        <v>80</v>
      </c>
      <c r="G158" s="384" t="s">
        <v>117</v>
      </c>
      <c r="H158" t="s">
        <v>117</v>
      </c>
      <c r="I158" t="str">
        <f t="shared" si="5"/>
        <v>LPDDR4_Data_ACC_Driver_00_80_NA_NA</v>
      </c>
      <c r="J158" t="s">
        <v>1719</v>
      </c>
      <c r="K158" t="s">
        <v>1801</v>
      </c>
    </row>
    <row r="159" spans="2:11">
      <c r="B159" t="s">
        <v>154</v>
      </c>
      <c r="C159" t="s">
        <v>2323</v>
      </c>
      <c r="D159" t="s">
        <v>2289</v>
      </c>
      <c r="E159" s="382" t="s">
        <v>2294</v>
      </c>
      <c r="F159" s="381">
        <v>80</v>
      </c>
      <c r="G159" s="384" t="s">
        <v>117</v>
      </c>
      <c r="H159" t="s">
        <v>117</v>
      </c>
      <c r="I159" t="str">
        <f t="shared" si="5"/>
        <v>LPDDR4_Data_ACC_Driver_01_80_NA_NA</v>
      </c>
      <c r="J159" t="s">
        <v>1720</v>
      </c>
      <c r="K159" t="s">
        <v>1802</v>
      </c>
    </row>
    <row r="160" spans="2:11">
      <c r="B160" t="s">
        <v>154</v>
      </c>
      <c r="C160" t="s">
        <v>2323</v>
      </c>
      <c r="D160" t="s">
        <v>2289</v>
      </c>
      <c r="E160" s="382" t="s">
        <v>2295</v>
      </c>
      <c r="F160" s="381">
        <v>80</v>
      </c>
      <c r="G160" s="384" t="s">
        <v>117</v>
      </c>
      <c r="H160" t="s">
        <v>117</v>
      </c>
      <c r="I160" t="str">
        <f t="shared" si="5"/>
        <v>LPDDR4_Data_ACC_Driver_10_80_NA_NA</v>
      </c>
      <c r="J160" t="s">
        <v>1721</v>
      </c>
      <c r="K160" t="s">
        <v>1803</v>
      </c>
    </row>
    <row r="161" spans="2:11">
      <c r="B161" t="s">
        <v>154</v>
      </c>
      <c r="C161" t="s">
        <v>2323</v>
      </c>
      <c r="D161" t="s">
        <v>2289</v>
      </c>
      <c r="E161" s="382" t="s">
        <v>2296</v>
      </c>
      <c r="F161" s="381">
        <v>80</v>
      </c>
      <c r="G161" s="384" t="s">
        <v>117</v>
      </c>
      <c r="H161" t="s">
        <v>117</v>
      </c>
      <c r="I161" t="str">
        <f t="shared" si="5"/>
        <v>LPDDR4_Data_ACC_Driver_11_80_NA_NA</v>
      </c>
      <c r="J161" t="s">
        <v>1722</v>
      </c>
      <c r="K161" t="s">
        <v>1804</v>
      </c>
    </row>
    <row r="162" spans="2:11">
      <c r="B162" t="s">
        <v>154</v>
      </c>
      <c r="C162" t="s">
        <v>2323</v>
      </c>
      <c r="D162" t="s">
        <v>2289</v>
      </c>
      <c r="E162" s="382" t="s">
        <v>2293</v>
      </c>
      <c r="F162" s="381">
        <v>96</v>
      </c>
      <c r="G162" s="384" t="s">
        <v>117</v>
      </c>
      <c r="H162" t="s">
        <v>117</v>
      </c>
      <c r="I162" t="str">
        <f t="shared" si="5"/>
        <v>LPDDR4_Data_ACC_Driver_00_96_NA_NA</v>
      </c>
      <c r="J162" t="s">
        <v>1723</v>
      </c>
      <c r="K162" t="s">
        <v>1805</v>
      </c>
    </row>
    <row r="163" spans="2:11">
      <c r="B163" t="s">
        <v>154</v>
      </c>
      <c r="C163" t="s">
        <v>2323</v>
      </c>
      <c r="D163" t="s">
        <v>2289</v>
      </c>
      <c r="E163" s="382" t="s">
        <v>2294</v>
      </c>
      <c r="F163" s="381">
        <v>96</v>
      </c>
      <c r="G163" s="384" t="s">
        <v>117</v>
      </c>
      <c r="H163" t="s">
        <v>117</v>
      </c>
      <c r="I163" t="str">
        <f t="shared" si="5"/>
        <v>LPDDR4_Data_ACC_Driver_01_96_NA_NA</v>
      </c>
      <c r="J163" t="s">
        <v>1724</v>
      </c>
      <c r="K163" t="s">
        <v>1806</v>
      </c>
    </row>
    <row r="164" spans="2:11">
      <c r="B164" t="s">
        <v>154</v>
      </c>
      <c r="C164" t="s">
        <v>2323</v>
      </c>
      <c r="D164" t="s">
        <v>2289</v>
      </c>
      <c r="E164" s="382" t="s">
        <v>2295</v>
      </c>
      <c r="F164" s="381">
        <v>96</v>
      </c>
      <c r="G164" s="384" t="s">
        <v>117</v>
      </c>
      <c r="H164" t="s">
        <v>117</v>
      </c>
      <c r="I164" t="str">
        <f t="shared" si="5"/>
        <v>LPDDR4_Data_ACC_Driver_10_96_NA_NA</v>
      </c>
      <c r="J164" t="s">
        <v>1725</v>
      </c>
      <c r="K164" t="s">
        <v>1807</v>
      </c>
    </row>
    <row r="165" spans="2:11">
      <c r="B165" t="s">
        <v>154</v>
      </c>
      <c r="C165" t="s">
        <v>2323</v>
      </c>
      <c r="D165" t="s">
        <v>2289</v>
      </c>
      <c r="E165" s="382" t="s">
        <v>2296</v>
      </c>
      <c r="F165" s="381">
        <v>96</v>
      </c>
      <c r="G165" s="384" t="s">
        <v>117</v>
      </c>
      <c r="H165" t="s">
        <v>117</v>
      </c>
      <c r="I165" t="str">
        <f t="shared" si="5"/>
        <v>LPDDR4_Data_ACC_Driver_11_96_NA_NA</v>
      </c>
      <c r="J165" t="s">
        <v>1726</v>
      </c>
      <c r="K165" t="s">
        <v>1808</v>
      </c>
    </row>
    <row r="166" spans="2:11">
      <c r="B166" t="s">
        <v>154</v>
      </c>
      <c r="C166" t="s">
        <v>2323</v>
      </c>
      <c r="D166" t="s">
        <v>2289</v>
      </c>
      <c r="E166" s="382" t="s">
        <v>2293</v>
      </c>
      <c r="F166" s="381">
        <v>120</v>
      </c>
      <c r="G166" s="384" t="s">
        <v>117</v>
      </c>
      <c r="H166" t="s">
        <v>117</v>
      </c>
      <c r="I166" t="str">
        <f t="shared" si="5"/>
        <v>LPDDR4_Data_ACC_Driver_00_120_NA_NA</v>
      </c>
      <c r="J166" t="s">
        <v>1727</v>
      </c>
      <c r="K166" t="s">
        <v>1809</v>
      </c>
    </row>
    <row r="167" spans="2:11">
      <c r="B167" t="s">
        <v>154</v>
      </c>
      <c r="C167" t="s">
        <v>2323</v>
      </c>
      <c r="D167" t="s">
        <v>2289</v>
      </c>
      <c r="E167" s="382" t="s">
        <v>2294</v>
      </c>
      <c r="F167" s="381">
        <v>120</v>
      </c>
      <c r="G167" s="384" t="s">
        <v>117</v>
      </c>
      <c r="H167" t="s">
        <v>117</v>
      </c>
      <c r="I167" t="str">
        <f t="shared" si="5"/>
        <v>LPDDR4_Data_ACC_Driver_01_120_NA_NA</v>
      </c>
      <c r="J167" t="s">
        <v>1728</v>
      </c>
      <c r="K167" t="s">
        <v>1810</v>
      </c>
    </row>
    <row r="168" spans="2:11">
      <c r="B168" t="s">
        <v>154</v>
      </c>
      <c r="C168" t="s">
        <v>2323</v>
      </c>
      <c r="D168" t="s">
        <v>2289</v>
      </c>
      <c r="E168" s="382" t="s">
        <v>2295</v>
      </c>
      <c r="F168" s="381">
        <v>120</v>
      </c>
      <c r="G168" s="384" t="s">
        <v>117</v>
      </c>
      <c r="H168" t="s">
        <v>117</v>
      </c>
      <c r="I168" t="str">
        <f t="shared" si="5"/>
        <v>LPDDR4_Data_ACC_Driver_10_120_NA_NA</v>
      </c>
      <c r="J168" t="s">
        <v>1729</v>
      </c>
      <c r="K168" t="s">
        <v>1811</v>
      </c>
    </row>
    <row r="169" spans="2:11">
      <c r="B169" t="s">
        <v>154</v>
      </c>
      <c r="C169" t="s">
        <v>2323</v>
      </c>
      <c r="D169" t="s">
        <v>2289</v>
      </c>
      <c r="E169" s="382" t="s">
        <v>2296</v>
      </c>
      <c r="F169" s="381">
        <v>120</v>
      </c>
      <c r="G169" s="384" t="s">
        <v>117</v>
      </c>
      <c r="H169" t="s">
        <v>117</v>
      </c>
      <c r="I169" t="str">
        <f t="shared" si="5"/>
        <v>LPDDR4_Data_ACC_Driver_11_120_NA_NA</v>
      </c>
      <c r="J169" t="s">
        <v>1730</v>
      </c>
      <c r="K169" t="s">
        <v>1812</v>
      </c>
    </row>
    <row r="170" spans="2:11">
      <c r="B170" t="s">
        <v>154</v>
      </c>
      <c r="C170" t="s">
        <v>2323</v>
      </c>
      <c r="D170" t="s">
        <v>2289</v>
      </c>
      <c r="E170" s="382" t="s">
        <v>2293</v>
      </c>
      <c r="F170" s="381">
        <v>160</v>
      </c>
      <c r="G170" s="384" t="s">
        <v>117</v>
      </c>
      <c r="H170" t="s">
        <v>117</v>
      </c>
      <c r="I170" t="str">
        <f t="shared" si="5"/>
        <v>LPDDR4_Data_ACC_Driver_00_160_NA_NA</v>
      </c>
      <c r="J170" t="s">
        <v>1731</v>
      </c>
      <c r="K170" t="s">
        <v>1813</v>
      </c>
    </row>
    <row r="171" spans="2:11">
      <c r="B171" t="s">
        <v>154</v>
      </c>
      <c r="C171" t="s">
        <v>2323</v>
      </c>
      <c r="D171" t="s">
        <v>2289</v>
      </c>
      <c r="E171" s="382" t="s">
        <v>2294</v>
      </c>
      <c r="F171" s="381">
        <v>160</v>
      </c>
      <c r="G171" s="384" t="s">
        <v>117</v>
      </c>
      <c r="H171" t="s">
        <v>117</v>
      </c>
      <c r="I171" t="str">
        <f t="shared" si="5"/>
        <v>LPDDR4_Data_ACC_Driver_01_160_NA_NA</v>
      </c>
      <c r="J171" t="s">
        <v>1732</v>
      </c>
      <c r="K171" t="s">
        <v>1814</v>
      </c>
    </row>
    <row r="172" spans="2:11">
      <c r="B172" t="s">
        <v>154</v>
      </c>
      <c r="C172" t="s">
        <v>2323</v>
      </c>
      <c r="D172" t="s">
        <v>2289</v>
      </c>
      <c r="E172" s="382" t="s">
        <v>2295</v>
      </c>
      <c r="F172" s="381">
        <v>160</v>
      </c>
      <c r="G172" s="384" t="s">
        <v>117</v>
      </c>
      <c r="H172" t="s">
        <v>117</v>
      </c>
      <c r="I172" t="str">
        <f t="shared" si="5"/>
        <v>LPDDR4_Data_ACC_Driver_10_160_NA_NA</v>
      </c>
      <c r="J172" t="s">
        <v>1733</v>
      </c>
      <c r="K172" t="s">
        <v>1815</v>
      </c>
    </row>
    <row r="173" spans="2:11">
      <c r="B173" t="s">
        <v>154</v>
      </c>
      <c r="C173" t="s">
        <v>2323</v>
      </c>
      <c r="D173" t="s">
        <v>2289</v>
      </c>
      <c r="E173" s="382" t="s">
        <v>2296</v>
      </c>
      <c r="F173" s="381">
        <v>160</v>
      </c>
      <c r="G173" s="384" t="s">
        <v>117</v>
      </c>
      <c r="H173" t="s">
        <v>117</v>
      </c>
      <c r="I173" t="str">
        <f t="shared" si="5"/>
        <v>LPDDR4_Data_ACC_Driver_11_160_NA_NA</v>
      </c>
      <c r="J173" t="s">
        <v>1734</v>
      </c>
      <c r="K173" t="s">
        <v>1816</v>
      </c>
    </row>
    <row r="174" spans="2:11">
      <c r="B174" t="s">
        <v>154</v>
      </c>
      <c r="C174" t="s">
        <v>2323</v>
      </c>
      <c r="D174" t="s">
        <v>2289</v>
      </c>
      <c r="E174" s="382" t="s">
        <v>2293</v>
      </c>
      <c r="F174" s="381">
        <v>180</v>
      </c>
      <c r="G174" s="384" t="s">
        <v>117</v>
      </c>
      <c r="H174" t="s">
        <v>117</v>
      </c>
      <c r="I174" t="str">
        <f t="shared" si="5"/>
        <v>LPDDR4_Data_ACC_Driver_00_180_NA_NA</v>
      </c>
      <c r="J174" t="s">
        <v>1735</v>
      </c>
      <c r="K174" t="s">
        <v>1817</v>
      </c>
    </row>
    <row r="175" spans="2:11">
      <c r="B175" t="s">
        <v>154</v>
      </c>
      <c r="C175" t="s">
        <v>2323</v>
      </c>
      <c r="D175" t="s">
        <v>2289</v>
      </c>
      <c r="E175" s="382" t="s">
        <v>2294</v>
      </c>
      <c r="F175" s="381">
        <v>180</v>
      </c>
      <c r="G175" s="384" t="s">
        <v>117</v>
      </c>
      <c r="H175" t="s">
        <v>117</v>
      </c>
      <c r="I175" t="str">
        <f t="shared" si="5"/>
        <v>LPDDR4_Data_ACC_Driver_01_180_NA_NA</v>
      </c>
      <c r="J175" t="s">
        <v>1736</v>
      </c>
      <c r="K175" t="s">
        <v>1818</v>
      </c>
    </row>
    <row r="176" spans="2:11">
      <c r="B176" t="s">
        <v>154</v>
      </c>
      <c r="C176" t="s">
        <v>2323</v>
      </c>
      <c r="D176" t="s">
        <v>2289</v>
      </c>
      <c r="E176" s="382" t="s">
        <v>2295</v>
      </c>
      <c r="F176" s="381">
        <v>180</v>
      </c>
      <c r="G176" s="384" t="s">
        <v>117</v>
      </c>
      <c r="H176" t="s">
        <v>117</v>
      </c>
      <c r="I176" t="str">
        <f t="shared" si="5"/>
        <v>LPDDR4_Data_ACC_Driver_10_180_NA_NA</v>
      </c>
      <c r="J176" t="s">
        <v>1737</v>
      </c>
      <c r="K176" t="s">
        <v>1819</v>
      </c>
    </row>
    <row r="177" spans="2:11">
      <c r="B177" t="s">
        <v>154</v>
      </c>
      <c r="C177" t="s">
        <v>2323</v>
      </c>
      <c r="D177" t="s">
        <v>2289</v>
      </c>
      <c r="E177" s="382" t="s">
        <v>2296</v>
      </c>
      <c r="F177" s="381">
        <v>180</v>
      </c>
      <c r="G177" s="384" t="s">
        <v>117</v>
      </c>
      <c r="H177" t="s">
        <v>117</v>
      </c>
      <c r="I177" t="str">
        <f t="shared" si="5"/>
        <v>LPDDR4_Data_ACC_Driver_11_180_NA_NA</v>
      </c>
      <c r="J177" t="s">
        <v>1738</v>
      </c>
      <c r="K177" t="s">
        <v>1820</v>
      </c>
    </row>
    <row r="178" spans="2:11">
      <c r="B178" t="s">
        <v>154</v>
      </c>
      <c r="C178" t="s">
        <v>2323</v>
      </c>
      <c r="D178" t="s">
        <v>2289</v>
      </c>
      <c r="E178" s="382" t="s">
        <v>2293</v>
      </c>
      <c r="F178" s="381">
        <v>240</v>
      </c>
      <c r="G178" s="384" t="s">
        <v>117</v>
      </c>
      <c r="H178" t="s">
        <v>117</v>
      </c>
      <c r="I178" t="str">
        <f t="shared" si="5"/>
        <v>LPDDR4_Data_ACC_Driver_00_240_NA_NA</v>
      </c>
      <c r="J178" t="s">
        <v>1739</v>
      </c>
      <c r="K178" t="s">
        <v>1821</v>
      </c>
    </row>
    <row r="179" spans="2:11">
      <c r="B179" t="s">
        <v>154</v>
      </c>
      <c r="C179" t="s">
        <v>2323</v>
      </c>
      <c r="D179" t="s">
        <v>2289</v>
      </c>
      <c r="E179" s="382" t="s">
        <v>2294</v>
      </c>
      <c r="F179" s="381">
        <v>240</v>
      </c>
      <c r="G179" s="384" t="s">
        <v>117</v>
      </c>
      <c r="H179" t="s">
        <v>117</v>
      </c>
      <c r="I179" t="str">
        <f t="shared" si="5"/>
        <v>LPDDR4_Data_ACC_Driver_01_240_NA_NA</v>
      </c>
      <c r="J179" t="s">
        <v>1740</v>
      </c>
      <c r="K179" t="s">
        <v>1822</v>
      </c>
    </row>
    <row r="180" spans="2:11">
      <c r="B180" t="s">
        <v>154</v>
      </c>
      <c r="C180" t="s">
        <v>2323</v>
      </c>
      <c r="D180" t="s">
        <v>2289</v>
      </c>
      <c r="E180" s="382" t="s">
        <v>2295</v>
      </c>
      <c r="F180" s="381">
        <v>240</v>
      </c>
      <c r="G180" s="384" t="s">
        <v>117</v>
      </c>
      <c r="H180" t="s">
        <v>117</v>
      </c>
      <c r="I180" t="str">
        <f t="shared" si="5"/>
        <v>LPDDR4_Data_ACC_Driver_10_240_NA_NA</v>
      </c>
      <c r="J180" t="s">
        <v>1741</v>
      </c>
      <c r="K180" t="s">
        <v>1823</v>
      </c>
    </row>
    <row r="181" spans="2:11">
      <c r="B181" t="s">
        <v>154</v>
      </c>
      <c r="C181" t="s">
        <v>2323</v>
      </c>
      <c r="D181" t="s">
        <v>2289</v>
      </c>
      <c r="E181" s="382" t="s">
        <v>2296</v>
      </c>
      <c r="F181" s="381">
        <v>240</v>
      </c>
      <c r="G181" s="384" t="s">
        <v>117</v>
      </c>
      <c r="H181" t="s">
        <v>117</v>
      </c>
      <c r="I181" t="str">
        <f t="shared" si="5"/>
        <v>LPDDR4_Data_ACC_Driver_11_240_NA_NA</v>
      </c>
      <c r="J181" t="s">
        <v>1742</v>
      </c>
      <c r="K181" t="s">
        <v>1824</v>
      </c>
    </row>
    <row r="182" spans="2:11">
      <c r="B182" t="s">
        <v>154</v>
      </c>
      <c r="C182" t="s">
        <v>2323</v>
      </c>
      <c r="D182" t="s">
        <v>2289</v>
      </c>
      <c r="E182" s="382" t="s">
        <v>2293</v>
      </c>
      <c r="F182" s="381">
        <v>360</v>
      </c>
      <c r="G182" s="384" t="s">
        <v>117</v>
      </c>
      <c r="H182" t="s">
        <v>117</v>
      </c>
      <c r="I182" t="str">
        <f t="shared" si="5"/>
        <v>LPDDR4_Data_ACC_Driver_00_360_NA_NA</v>
      </c>
      <c r="J182" t="s">
        <v>1747</v>
      </c>
      <c r="K182" t="s">
        <v>1829</v>
      </c>
    </row>
    <row r="183" spans="2:11">
      <c r="B183" t="s">
        <v>154</v>
      </c>
      <c r="C183" t="s">
        <v>2323</v>
      </c>
      <c r="D183" t="s">
        <v>2289</v>
      </c>
      <c r="E183" s="382" t="s">
        <v>2294</v>
      </c>
      <c r="F183" s="381">
        <v>360</v>
      </c>
      <c r="G183" s="384" t="s">
        <v>117</v>
      </c>
      <c r="H183" t="s">
        <v>117</v>
      </c>
      <c r="I183" t="str">
        <f t="shared" si="5"/>
        <v>LPDDR4_Data_ACC_Driver_01_360_NA_NA</v>
      </c>
      <c r="J183" t="s">
        <v>1748</v>
      </c>
      <c r="K183" t="s">
        <v>1830</v>
      </c>
    </row>
    <row r="184" spans="2:11">
      <c r="B184" t="s">
        <v>154</v>
      </c>
      <c r="C184" t="s">
        <v>2323</v>
      </c>
      <c r="D184" t="s">
        <v>2289</v>
      </c>
      <c r="E184" s="382" t="s">
        <v>2295</v>
      </c>
      <c r="F184" s="381">
        <v>360</v>
      </c>
      <c r="G184" s="384" t="s">
        <v>117</v>
      </c>
      <c r="H184" t="s">
        <v>117</v>
      </c>
      <c r="I184" t="str">
        <f t="shared" si="5"/>
        <v>LPDDR4_Data_ACC_Driver_10_360_NA_NA</v>
      </c>
      <c r="J184" t="s">
        <v>1749</v>
      </c>
      <c r="K184" t="s">
        <v>1831</v>
      </c>
    </row>
    <row r="185" spans="2:11">
      <c r="B185" t="s">
        <v>154</v>
      </c>
      <c r="C185" t="s">
        <v>2323</v>
      </c>
      <c r="D185" t="s">
        <v>2289</v>
      </c>
      <c r="E185" s="382" t="s">
        <v>2296</v>
      </c>
      <c r="F185" s="381">
        <v>360</v>
      </c>
      <c r="G185" s="384" t="s">
        <v>117</v>
      </c>
      <c r="H185" t="s">
        <v>117</v>
      </c>
      <c r="I185" t="str">
        <f t="shared" si="5"/>
        <v>LPDDR4_Data_ACC_Driver_11_360_NA_NA</v>
      </c>
      <c r="J185" t="s">
        <v>1750</v>
      </c>
      <c r="K185" t="s">
        <v>1832</v>
      </c>
    </row>
    <row r="186" spans="2:11">
      <c r="B186" t="s">
        <v>154</v>
      </c>
      <c r="C186" t="s">
        <v>2323</v>
      </c>
      <c r="D186" t="s">
        <v>2289</v>
      </c>
      <c r="E186" s="382" t="s">
        <v>2293</v>
      </c>
      <c r="F186" s="381">
        <v>480</v>
      </c>
      <c r="G186" s="384" t="s">
        <v>117</v>
      </c>
      <c r="H186" t="s">
        <v>117</v>
      </c>
      <c r="I186" t="str">
        <f t="shared" si="5"/>
        <v>LPDDR4_Data_ACC_Driver_00_480_NA_NA</v>
      </c>
      <c r="J186" t="s">
        <v>1743</v>
      </c>
      <c r="K186" t="s">
        <v>1825</v>
      </c>
    </row>
    <row r="187" spans="2:11">
      <c r="B187" t="s">
        <v>154</v>
      </c>
      <c r="C187" t="s">
        <v>2323</v>
      </c>
      <c r="D187" t="s">
        <v>2289</v>
      </c>
      <c r="E187" s="382" t="s">
        <v>2294</v>
      </c>
      <c r="F187" s="381">
        <v>480</v>
      </c>
      <c r="G187" s="384" t="s">
        <v>117</v>
      </c>
      <c r="H187" t="s">
        <v>117</v>
      </c>
      <c r="I187" t="str">
        <f t="shared" si="5"/>
        <v>LPDDR4_Data_ACC_Driver_01_480_NA_NA</v>
      </c>
      <c r="J187" t="s">
        <v>1744</v>
      </c>
      <c r="K187" t="s">
        <v>1826</v>
      </c>
    </row>
    <row r="188" spans="2:11">
      <c r="B188" t="s">
        <v>154</v>
      </c>
      <c r="C188" t="s">
        <v>2323</v>
      </c>
      <c r="D188" t="s">
        <v>2289</v>
      </c>
      <c r="E188" s="382" t="s">
        <v>2295</v>
      </c>
      <c r="F188" s="381">
        <v>480</v>
      </c>
      <c r="G188" s="384" t="s">
        <v>117</v>
      </c>
      <c r="H188" t="s">
        <v>117</v>
      </c>
      <c r="I188" t="str">
        <f t="shared" si="5"/>
        <v>LPDDR4_Data_ACC_Driver_10_480_NA_NA</v>
      </c>
      <c r="J188" t="s">
        <v>1745</v>
      </c>
      <c r="K188" t="s">
        <v>1827</v>
      </c>
    </row>
    <row r="189" spans="2:11">
      <c r="B189" t="s">
        <v>154</v>
      </c>
      <c r="C189" t="s">
        <v>2323</v>
      </c>
      <c r="D189" t="s">
        <v>2289</v>
      </c>
      <c r="E189" s="382" t="s">
        <v>2296</v>
      </c>
      <c r="F189" s="381">
        <v>480</v>
      </c>
      <c r="G189" s="384" t="s">
        <v>117</v>
      </c>
      <c r="H189" t="s">
        <v>117</v>
      </c>
      <c r="I189" t="str">
        <f t="shared" si="5"/>
        <v>LPDDR4_Data_ACC_Driver_11_480_NA_NA</v>
      </c>
      <c r="J189" t="s">
        <v>1746</v>
      </c>
      <c r="K189" t="s">
        <v>1828</v>
      </c>
    </row>
    <row r="190" spans="2:11">
      <c r="B190" t="s">
        <v>154</v>
      </c>
      <c r="C190" t="s">
        <v>2323</v>
      </c>
      <c r="D190" t="s">
        <v>2290</v>
      </c>
      <c r="E190" s="382" t="s">
        <v>117</v>
      </c>
      <c r="F190" s="384" t="s">
        <v>117</v>
      </c>
      <c r="G190" s="381">
        <v>40</v>
      </c>
      <c r="H190" t="s">
        <v>2312</v>
      </c>
      <c r="I190" t="str">
        <f t="shared" si="5"/>
        <v>LPDDR4_Data_ACC_Receiver_NA_NA_40_NONE</v>
      </c>
      <c r="J190" t="s">
        <v>1751</v>
      </c>
      <c r="K190" t="s">
        <v>1833</v>
      </c>
    </row>
    <row r="191" spans="2:11">
      <c r="B191" t="s">
        <v>154</v>
      </c>
      <c r="C191" t="s">
        <v>2323</v>
      </c>
      <c r="D191" t="s">
        <v>2290</v>
      </c>
      <c r="E191" s="382" t="s">
        <v>117</v>
      </c>
      <c r="F191" s="384" t="s">
        <v>117</v>
      </c>
      <c r="G191" s="381">
        <v>48</v>
      </c>
      <c r="H191" t="s">
        <v>2312</v>
      </c>
      <c r="I191" t="str">
        <f t="shared" si="5"/>
        <v>LPDDR4_Data_ACC_Receiver_NA_NA_48_NONE</v>
      </c>
      <c r="J191" t="s">
        <v>1752</v>
      </c>
      <c r="K191" t="s">
        <v>1834</v>
      </c>
    </row>
    <row r="192" spans="2:11">
      <c r="B192" t="s">
        <v>154</v>
      </c>
      <c r="C192" t="s">
        <v>2323</v>
      </c>
      <c r="D192" t="s">
        <v>2290</v>
      </c>
      <c r="E192" s="382" t="s">
        <v>117</v>
      </c>
      <c r="F192" s="384" t="s">
        <v>117</v>
      </c>
      <c r="G192" s="381">
        <v>60</v>
      </c>
      <c r="H192" t="s">
        <v>2312</v>
      </c>
      <c r="I192" t="str">
        <f t="shared" si="5"/>
        <v>LPDDR4_Data_ACC_Receiver_NA_NA_60_NONE</v>
      </c>
      <c r="J192" t="s">
        <v>1753</v>
      </c>
      <c r="K192" t="s">
        <v>1835</v>
      </c>
    </row>
    <row r="193" spans="2:13">
      <c r="B193" t="s">
        <v>154</v>
      </c>
      <c r="C193" t="s">
        <v>2323</v>
      </c>
      <c r="D193" t="s">
        <v>2290</v>
      </c>
      <c r="E193" s="382" t="s">
        <v>117</v>
      </c>
      <c r="F193" s="384" t="s">
        <v>117</v>
      </c>
      <c r="G193" s="381">
        <v>80</v>
      </c>
      <c r="H193" t="s">
        <v>2312</v>
      </c>
      <c r="I193" t="str">
        <f t="shared" si="5"/>
        <v>LPDDR4_Data_ACC_Receiver_NA_NA_80_NONE</v>
      </c>
      <c r="J193" t="s">
        <v>1754</v>
      </c>
      <c r="K193" t="s">
        <v>1836</v>
      </c>
      <c r="L193" t="s">
        <v>1758</v>
      </c>
      <c r="M193" t="s">
        <v>1836</v>
      </c>
    </row>
    <row r="194" spans="2:13">
      <c r="B194" t="s">
        <v>154</v>
      </c>
      <c r="C194" t="s">
        <v>2323</v>
      </c>
      <c r="D194" t="s">
        <v>2290</v>
      </c>
      <c r="E194" s="382" t="s">
        <v>117</v>
      </c>
      <c r="F194" s="384" t="s">
        <v>117</v>
      </c>
      <c r="G194" s="381">
        <v>120</v>
      </c>
      <c r="H194" t="s">
        <v>2312</v>
      </c>
      <c r="I194" t="str">
        <f t="shared" si="5"/>
        <v>LPDDR4_Data_ACC_Receiver_NA_NA_120_NONE</v>
      </c>
      <c r="J194" t="s">
        <v>1755</v>
      </c>
      <c r="K194" t="s">
        <v>1837</v>
      </c>
      <c r="L194" t="s">
        <v>1759</v>
      </c>
      <c r="M194" t="s">
        <v>1837</v>
      </c>
    </row>
    <row r="195" spans="2:13">
      <c r="B195" t="s">
        <v>154</v>
      </c>
      <c r="C195" t="s">
        <v>2323</v>
      </c>
      <c r="D195" t="s">
        <v>2290</v>
      </c>
      <c r="E195" s="382" t="s">
        <v>117</v>
      </c>
      <c r="F195" s="384" t="s">
        <v>117</v>
      </c>
      <c r="G195" s="381">
        <v>240</v>
      </c>
      <c r="H195" t="s">
        <v>2312</v>
      </c>
      <c r="I195" t="str">
        <f t="shared" si="5"/>
        <v>LPDDR4_Data_ACC_Receiver_NA_NA_240_NONE</v>
      </c>
      <c r="J195" t="s">
        <v>1757</v>
      </c>
      <c r="K195" t="s">
        <v>1838</v>
      </c>
      <c r="L195" t="s">
        <v>1756</v>
      </c>
      <c r="M195" t="s">
        <v>1838</v>
      </c>
    </row>
    <row r="196" spans="2:13">
      <c r="B196" t="s">
        <v>154</v>
      </c>
      <c r="C196" t="s">
        <v>2323</v>
      </c>
      <c r="D196" t="s">
        <v>2290</v>
      </c>
      <c r="E196" s="382" t="s">
        <v>117</v>
      </c>
      <c r="F196" s="384" t="s">
        <v>117</v>
      </c>
      <c r="G196" s="381" t="s">
        <v>1101</v>
      </c>
      <c r="H196" t="s">
        <v>2312</v>
      </c>
      <c r="I196" t="str">
        <f t="shared" si="5"/>
        <v>LPDDR4_Data_ACC_Receiver_NA_NA_disabled_NONE</v>
      </c>
      <c r="J196" t="s">
        <v>1760</v>
      </c>
      <c r="K196" t="s">
        <v>1839</v>
      </c>
    </row>
    <row r="197" spans="2:13">
      <c r="B197" t="s">
        <v>154</v>
      </c>
      <c r="C197" t="s">
        <v>1551</v>
      </c>
      <c r="D197" t="s">
        <v>2289</v>
      </c>
      <c r="E197" s="382" t="s">
        <v>2293</v>
      </c>
      <c r="F197" s="381">
        <v>40</v>
      </c>
      <c r="G197" s="384" t="s">
        <v>117</v>
      </c>
      <c r="H197" t="s">
        <v>117</v>
      </c>
      <c r="I197" t="str">
        <f t="shared" si="5"/>
        <v>LPDDR4_DQS_Driver_00_40_NA_NA</v>
      </c>
      <c r="J197" t="s">
        <v>1840</v>
      </c>
      <c r="K197" t="s">
        <v>2197</v>
      </c>
    </row>
    <row r="198" spans="2:13">
      <c r="B198" t="s">
        <v>154</v>
      </c>
      <c r="C198" t="s">
        <v>1551</v>
      </c>
      <c r="D198" t="s">
        <v>2289</v>
      </c>
      <c r="E198" s="382" t="s">
        <v>2294</v>
      </c>
      <c r="F198" s="381">
        <v>40</v>
      </c>
      <c r="G198" s="384" t="s">
        <v>117</v>
      </c>
      <c r="H198" t="s">
        <v>117</v>
      </c>
      <c r="I198" t="str">
        <f t="shared" si="5"/>
        <v>LPDDR4_DQS_Driver_01_40_NA_NA</v>
      </c>
      <c r="J198" t="s">
        <v>1841</v>
      </c>
      <c r="K198" t="s">
        <v>2198</v>
      </c>
    </row>
    <row r="199" spans="2:13">
      <c r="B199" t="s">
        <v>154</v>
      </c>
      <c r="C199" t="s">
        <v>1551</v>
      </c>
      <c r="D199" t="s">
        <v>2289</v>
      </c>
      <c r="E199" s="382" t="s">
        <v>2295</v>
      </c>
      <c r="F199" s="381">
        <v>40</v>
      </c>
      <c r="G199" s="384" t="s">
        <v>117</v>
      </c>
      <c r="H199" t="s">
        <v>117</v>
      </c>
      <c r="I199" t="str">
        <f t="shared" si="5"/>
        <v>LPDDR4_DQS_Driver_10_40_NA_NA</v>
      </c>
      <c r="J199" t="s">
        <v>1842</v>
      </c>
      <c r="K199" t="s">
        <v>2199</v>
      </c>
    </row>
    <row r="200" spans="2:13">
      <c r="B200" t="s">
        <v>154</v>
      </c>
      <c r="C200" t="s">
        <v>1551</v>
      </c>
      <c r="D200" t="s">
        <v>2289</v>
      </c>
      <c r="E200" s="382" t="s">
        <v>2296</v>
      </c>
      <c r="F200" s="381">
        <v>40</v>
      </c>
      <c r="G200" s="384" t="s">
        <v>117</v>
      </c>
      <c r="H200" t="s">
        <v>117</v>
      </c>
      <c r="I200" t="str">
        <f t="shared" si="5"/>
        <v>LPDDR4_DQS_Driver_11_40_NA_NA</v>
      </c>
      <c r="J200" t="s">
        <v>1843</v>
      </c>
      <c r="K200" t="s">
        <v>2200</v>
      </c>
    </row>
    <row r="201" spans="2:13">
      <c r="B201" t="s">
        <v>154</v>
      </c>
      <c r="C201" t="s">
        <v>1551</v>
      </c>
      <c r="D201" t="s">
        <v>2289</v>
      </c>
      <c r="E201" s="382" t="s">
        <v>2293</v>
      </c>
      <c r="F201" s="381">
        <v>48</v>
      </c>
      <c r="G201" s="384" t="s">
        <v>117</v>
      </c>
      <c r="H201" t="s">
        <v>117</v>
      </c>
      <c r="I201" t="str">
        <f t="shared" si="5"/>
        <v>LPDDR4_DQS_Driver_00_48_NA_NA</v>
      </c>
      <c r="J201" t="s">
        <v>1844</v>
      </c>
      <c r="K201" t="s">
        <v>2201</v>
      </c>
    </row>
    <row r="202" spans="2:13">
      <c r="B202" t="s">
        <v>154</v>
      </c>
      <c r="C202" t="s">
        <v>1551</v>
      </c>
      <c r="D202" t="s">
        <v>2289</v>
      </c>
      <c r="E202" s="382" t="s">
        <v>2294</v>
      </c>
      <c r="F202" s="381">
        <v>48</v>
      </c>
      <c r="G202" s="384" t="s">
        <v>117</v>
      </c>
      <c r="H202" t="s">
        <v>117</v>
      </c>
      <c r="I202" t="str">
        <f t="shared" si="5"/>
        <v>LPDDR4_DQS_Driver_01_48_NA_NA</v>
      </c>
      <c r="J202" t="s">
        <v>1845</v>
      </c>
      <c r="K202" t="s">
        <v>2202</v>
      </c>
    </row>
    <row r="203" spans="2:13">
      <c r="B203" t="s">
        <v>154</v>
      </c>
      <c r="C203" t="s">
        <v>1551</v>
      </c>
      <c r="D203" t="s">
        <v>2289</v>
      </c>
      <c r="E203" s="382" t="s">
        <v>2295</v>
      </c>
      <c r="F203" s="381">
        <v>48</v>
      </c>
      <c r="G203" s="384" t="s">
        <v>117</v>
      </c>
      <c r="H203" t="s">
        <v>117</v>
      </c>
      <c r="I203" t="str">
        <f t="shared" si="5"/>
        <v>LPDDR4_DQS_Driver_10_48_NA_NA</v>
      </c>
      <c r="J203" t="s">
        <v>1846</v>
      </c>
      <c r="K203" t="s">
        <v>2203</v>
      </c>
    </row>
    <row r="204" spans="2:13">
      <c r="B204" t="s">
        <v>154</v>
      </c>
      <c r="C204" t="s">
        <v>1551</v>
      </c>
      <c r="D204" t="s">
        <v>2289</v>
      </c>
      <c r="E204" s="382" t="s">
        <v>2296</v>
      </c>
      <c r="F204" s="381">
        <v>48</v>
      </c>
      <c r="G204" s="384" t="s">
        <v>117</v>
      </c>
      <c r="H204" t="s">
        <v>117</v>
      </c>
      <c r="I204" t="str">
        <f t="shared" si="5"/>
        <v>LPDDR4_DQS_Driver_11_48_NA_NA</v>
      </c>
      <c r="J204" t="s">
        <v>1847</v>
      </c>
      <c r="K204" t="s">
        <v>2204</v>
      </c>
    </row>
    <row r="205" spans="2:13">
      <c r="B205" t="s">
        <v>154</v>
      </c>
      <c r="C205" t="s">
        <v>1551</v>
      </c>
      <c r="D205" t="s">
        <v>2289</v>
      </c>
      <c r="E205" s="382" t="s">
        <v>2293</v>
      </c>
      <c r="F205" s="381">
        <v>60</v>
      </c>
      <c r="G205" s="384" t="s">
        <v>117</v>
      </c>
      <c r="H205" t="s">
        <v>117</v>
      </c>
      <c r="I205" t="str">
        <f t="shared" si="5"/>
        <v>LPDDR4_DQS_Driver_00_60_NA_NA</v>
      </c>
      <c r="J205" t="s">
        <v>1848</v>
      </c>
      <c r="K205" t="s">
        <v>2205</v>
      </c>
    </row>
    <row r="206" spans="2:13">
      <c r="B206" t="s">
        <v>154</v>
      </c>
      <c r="C206" t="s">
        <v>1551</v>
      </c>
      <c r="D206" t="s">
        <v>2289</v>
      </c>
      <c r="E206" s="382" t="s">
        <v>2294</v>
      </c>
      <c r="F206" s="381">
        <v>60</v>
      </c>
      <c r="G206" s="384" t="s">
        <v>117</v>
      </c>
      <c r="H206" t="s">
        <v>117</v>
      </c>
      <c r="I206" t="str">
        <f t="shared" si="5"/>
        <v>LPDDR4_DQS_Driver_01_60_NA_NA</v>
      </c>
      <c r="J206" t="s">
        <v>1849</v>
      </c>
      <c r="K206" t="s">
        <v>2206</v>
      </c>
    </row>
    <row r="207" spans="2:13">
      <c r="B207" t="s">
        <v>154</v>
      </c>
      <c r="C207" t="s">
        <v>1551</v>
      </c>
      <c r="D207" t="s">
        <v>2289</v>
      </c>
      <c r="E207" s="382" t="s">
        <v>2295</v>
      </c>
      <c r="F207" s="381">
        <v>60</v>
      </c>
      <c r="G207" s="384" t="s">
        <v>117</v>
      </c>
      <c r="H207" t="s">
        <v>117</v>
      </c>
      <c r="I207" t="str">
        <f t="shared" ref="I207:I270" si="6">CONCATENATE(B207,"_",C207,"_",D207,"_",E207,"_",F207,"_",G207,"_",H207)</f>
        <v>LPDDR4_DQS_Driver_10_60_NA_NA</v>
      </c>
      <c r="J207" t="s">
        <v>1850</v>
      </c>
      <c r="K207" t="s">
        <v>2207</v>
      </c>
    </row>
    <row r="208" spans="2:13">
      <c r="B208" t="s">
        <v>154</v>
      </c>
      <c r="C208" t="s">
        <v>1551</v>
      </c>
      <c r="D208" t="s">
        <v>2289</v>
      </c>
      <c r="E208" s="382" t="s">
        <v>2296</v>
      </c>
      <c r="F208" s="381">
        <v>60</v>
      </c>
      <c r="G208" s="384" t="s">
        <v>117</v>
      </c>
      <c r="H208" t="s">
        <v>117</v>
      </c>
      <c r="I208" t="str">
        <f t="shared" si="6"/>
        <v>LPDDR4_DQS_Driver_11_60_NA_NA</v>
      </c>
      <c r="J208" t="s">
        <v>1851</v>
      </c>
      <c r="K208" t="s">
        <v>2208</v>
      </c>
    </row>
    <row r="209" spans="2:11">
      <c r="B209" t="s">
        <v>154</v>
      </c>
      <c r="C209" t="s">
        <v>1551</v>
      </c>
      <c r="D209" t="s">
        <v>2289</v>
      </c>
      <c r="E209" s="382" t="s">
        <v>2293</v>
      </c>
      <c r="F209" s="381">
        <v>80</v>
      </c>
      <c r="G209" s="384" t="s">
        <v>117</v>
      </c>
      <c r="H209" t="s">
        <v>117</v>
      </c>
      <c r="I209" t="str">
        <f t="shared" si="6"/>
        <v>LPDDR4_DQS_Driver_00_80_NA_NA</v>
      </c>
      <c r="J209" t="s">
        <v>1852</v>
      </c>
      <c r="K209" t="s">
        <v>2209</v>
      </c>
    </row>
    <row r="210" spans="2:11">
      <c r="B210" t="s">
        <v>154</v>
      </c>
      <c r="C210" t="s">
        <v>1551</v>
      </c>
      <c r="D210" t="s">
        <v>2289</v>
      </c>
      <c r="E210" s="382" t="s">
        <v>2294</v>
      </c>
      <c r="F210" s="381">
        <v>80</v>
      </c>
      <c r="G210" s="384" t="s">
        <v>117</v>
      </c>
      <c r="H210" t="s">
        <v>117</v>
      </c>
      <c r="I210" t="str">
        <f t="shared" si="6"/>
        <v>LPDDR4_DQS_Driver_01_80_NA_NA</v>
      </c>
      <c r="J210" t="s">
        <v>1853</v>
      </c>
      <c r="K210" t="s">
        <v>2210</v>
      </c>
    </row>
    <row r="211" spans="2:11">
      <c r="B211" t="s">
        <v>154</v>
      </c>
      <c r="C211" t="s">
        <v>1551</v>
      </c>
      <c r="D211" t="s">
        <v>2289</v>
      </c>
      <c r="E211" s="382" t="s">
        <v>2295</v>
      </c>
      <c r="F211" s="381">
        <v>80</v>
      </c>
      <c r="G211" s="384" t="s">
        <v>117</v>
      </c>
      <c r="H211" t="s">
        <v>117</v>
      </c>
      <c r="I211" t="str">
        <f t="shared" si="6"/>
        <v>LPDDR4_DQS_Driver_10_80_NA_NA</v>
      </c>
      <c r="J211" t="s">
        <v>1854</v>
      </c>
      <c r="K211" t="s">
        <v>2211</v>
      </c>
    </row>
    <row r="212" spans="2:11">
      <c r="B212" t="s">
        <v>154</v>
      </c>
      <c r="C212" t="s">
        <v>1551</v>
      </c>
      <c r="D212" t="s">
        <v>2289</v>
      </c>
      <c r="E212" s="382" t="s">
        <v>2296</v>
      </c>
      <c r="F212" s="381">
        <v>80</v>
      </c>
      <c r="G212" s="384" t="s">
        <v>117</v>
      </c>
      <c r="H212" t="s">
        <v>117</v>
      </c>
      <c r="I212" t="str">
        <f t="shared" si="6"/>
        <v>LPDDR4_DQS_Driver_11_80_NA_NA</v>
      </c>
      <c r="J212" t="s">
        <v>1855</v>
      </c>
      <c r="K212" t="s">
        <v>2212</v>
      </c>
    </row>
    <row r="213" spans="2:11">
      <c r="B213" t="s">
        <v>154</v>
      </c>
      <c r="C213" t="s">
        <v>1551</v>
      </c>
      <c r="D213" t="s">
        <v>2289</v>
      </c>
      <c r="E213" s="382" t="s">
        <v>2293</v>
      </c>
      <c r="F213" s="381">
        <v>96</v>
      </c>
      <c r="G213" s="384" t="s">
        <v>117</v>
      </c>
      <c r="H213" t="s">
        <v>117</v>
      </c>
      <c r="I213" t="str">
        <f t="shared" si="6"/>
        <v>LPDDR4_DQS_Driver_00_96_NA_NA</v>
      </c>
      <c r="J213" t="s">
        <v>1856</v>
      </c>
      <c r="K213" t="s">
        <v>2213</v>
      </c>
    </row>
    <row r="214" spans="2:11">
      <c r="B214" t="s">
        <v>154</v>
      </c>
      <c r="C214" t="s">
        <v>1551</v>
      </c>
      <c r="D214" t="s">
        <v>2289</v>
      </c>
      <c r="E214" s="382" t="s">
        <v>2294</v>
      </c>
      <c r="F214" s="381">
        <v>96</v>
      </c>
      <c r="G214" s="384" t="s">
        <v>117</v>
      </c>
      <c r="H214" t="s">
        <v>117</v>
      </c>
      <c r="I214" t="str">
        <f t="shared" si="6"/>
        <v>LPDDR4_DQS_Driver_01_96_NA_NA</v>
      </c>
      <c r="J214" t="s">
        <v>1857</v>
      </c>
      <c r="K214" t="s">
        <v>2214</v>
      </c>
    </row>
    <row r="215" spans="2:11">
      <c r="B215" t="s">
        <v>154</v>
      </c>
      <c r="C215" t="s">
        <v>1551</v>
      </c>
      <c r="D215" t="s">
        <v>2289</v>
      </c>
      <c r="E215" s="382" t="s">
        <v>2295</v>
      </c>
      <c r="F215" s="381">
        <v>96</v>
      </c>
      <c r="G215" s="384" t="s">
        <v>117</v>
      </c>
      <c r="H215" t="s">
        <v>117</v>
      </c>
      <c r="I215" t="str">
        <f t="shared" si="6"/>
        <v>LPDDR4_DQS_Driver_10_96_NA_NA</v>
      </c>
      <c r="J215" t="s">
        <v>1858</v>
      </c>
      <c r="K215" t="s">
        <v>2215</v>
      </c>
    </row>
    <row r="216" spans="2:11">
      <c r="B216" t="s">
        <v>154</v>
      </c>
      <c r="C216" t="s">
        <v>1551</v>
      </c>
      <c r="D216" t="s">
        <v>2289</v>
      </c>
      <c r="E216" s="382" t="s">
        <v>2296</v>
      </c>
      <c r="F216" s="381">
        <v>96</v>
      </c>
      <c r="G216" s="384" t="s">
        <v>117</v>
      </c>
      <c r="H216" t="s">
        <v>117</v>
      </c>
      <c r="I216" t="str">
        <f t="shared" si="6"/>
        <v>LPDDR4_DQS_Driver_11_96_NA_NA</v>
      </c>
      <c r="J216" t="s">
        <v>1859</v>
      </c>
      <c r="K216" t="s">
        <v>2216</v>
      </c>
    </row>
    <row r="217" spans="2:11">
      <c r="B217" t="s">
        <v>154</v>
      </c>
      <c r="C217" t="s">
        <v>1551</v>
      </c>
      <c r="D217" t="s">
        <v>2289</v>
      </c>
      <c r="E217" s="382" t="s">
        <v>2293</v>
      </c>
      <c r="F217" s="381">
        <v>120</v>
      </c>
      <c r="G217" s="384" t="s">
        <v>117</v>
      </c>
      <c r="H217" t="s">
        <v>117</v>
      </c>
      <c r="I217" t="str">
        <f t="shared" si="6"/>
        <v>LPDDR4_DQS_Driver_00_120_NA_NA</v>
      </c>
      <c r="J217" t="s">
        <v>1860</v>
      </c>
      <c r="K217" t="s">
        <v>2217</v>
      </c>
    </row>
    <row r="218" spans="2:11">
      <c r="B218" t="s">
        <v>154</v>
      </c>
      <c r="C218" t="s">
        <v>1551</v>
      </c>
      <c r="D218" t="s">
        <v>2289</v>
      </c>
      <c r="E218" s="382" t="s">
        <v>2294</v>
      </c>
      <c r="F218" s="381">
        <v>120</v>
      </c>
      <c r="G218" s="384" t="s">
        <v>117</v>
      </c>
      <c r="H218" t="s">
        <v>117</v>
      </c>
      <c r="I218" t="str">
        <f t="shared" si="6"/>
        <v>LPDDR4_DQS_Driver_01_120_NA_NA</v>
      </c>
      <c r="J218" t="s">
        <v>1861</v>
      </c>
      <c r="K218" t="s">
        <v>2218</v>
      </c>
    </row>
    <row r="219" spans="2:11">
      <c r="B219" t="s">
        <v>154</v>
      </c>
      <c r="C219" t="s">
        <v>1551</v>
      </c>
      <c r="D219" t="s">
        <v>2289</v>
      </c>
      <c r="E219" s="382" t="s">
        <v>2295</v>
      </c>
      <c r="F219" s="381">
        <v>120</v>
      </c>
      <c r="G219" s="384" t="s">
        <v>117</v>
      </c>
      <c r="H219" t="s">
        <v>117</v>
      </c>
      <c r="I219" t="str">
        <f t="shared" si="6"/>
        <v>LPDDR4_DQS_Driver_10_120_NA_NA</v>
      </c>
      <c r="J219" t="s">
        <v>1862</v>
      </c>
      <c r="K219" t="s">
        <v>2219</v>
      </c>
    </row>
    <row r="220" spans="2:11">
      <c r="B220" t="s">
        <v>154</v>
      </c>
      <c r="C220" t="s">
        <v>1551</v>
      </c>
      <c r="D220" t="s">
        <v>2289</v>
      </c>
      <c r="E220" s="382" t="s">
        <v>2296</v>
      </c>
      <c r="F220" s="381">
        <v>120</v>
      </c>
      <c r="G220" s="384" t="s">
        <v>117</v>
      </c>
      <c r="H220" t="s">
        <v>117</v>
      </c>
      <c r="I220" t="str">
        <f t="shared" si="6"/>
        <v>LPDDR4_DQS_Driver_11_120_NA_NA</v>
      </c>
      <c r="J220" t="s">
        <v>1863</v>
      </c>
      <c r="K220" t="s">
        <v>2220</v>
      </c>
    </row>
    <row r="221" spans="2:11">
      <c r="B221" t="s">
        <v>154</v>
      </c>
      <c r="C221" t="s">
        <v>1551</v>
      </c>
      <c r="D221" t="s">
        <v>2289</v>
      </c>
      <c r="E221" s="382" t="s">
        <v>2293</v>
      </c>
      <c r="F221" s="381">
        <v>160</v>
      </c>
      <c r="G221" s="384" t="s">
        <v>117</v>
      </c>
      <c r="H221" t="s">
        <v>117</v>
      </c>
      <c r="I221" t="str">
        <f t="shared" si="6"/>
        <v>LPDDR4_DQS_Driver_00_160_NA_NA</v>
      </c>
      <c r="J221" t="s">
        <v>1864</v>
      </c>
      <c r="K221" t="s">
        <v>2221</v>
      </c>
    </row>
    <row r="222" spans="2:11">
      <c r="B222" t="s">
        <v>154</v>
      </c>
      <c r="C222" t="s">
        <v>1551</v>
      </c>
      <c r="D222" t="s">
        <v>2289</v>
      </c>
      <c r="E222" s="382" t="s">
        <v>2294</v>
      </c>
      <c r="F222" s="381">
        <v>160</v>
      </c>
      <c r="G222" s="384" t="s">
        <v>117</v>
      </c>
      <c r="H222" t="s">
        <v>117</v>
      </c>
      <c r="I222" t="str">
        <f t="shared" si="6"/>
        <v>LPDDR4_DQS_Driver_01_160_NA_NA</v>
      </c>
      <c r="J222" t="s">
        <v>1865</v>
      </c>
      <c r="K222" s="383" t="s">
        <v>2300</v>
      </c>
    </row>
    <row r="223" spans="2:11">
      <c r="B223" t="s">
        <v>154</v>
      </c>
      <c r="C223" t="s">
        <v>1551</v>
      </c>
      <c r="D223" t="s">
        <v>2289</v>
      </c>
      <c r="E223" s="382" t="s">
        <v>2295</v>
      </c>
      <c r="F223" s="381">
        <v>160</v>
      </c>
      <c r="G223" s="384" t="s">
        <v>117</v>
      </c>
      <c r="H223" t="s">
        <v>117</v>
      </c>
      <c r="I223" t="str">
        <f t="shared" si="6"/>
        <v>LPDDR4_DQS_Driver_10_160_NA_NA</v>
      </c>
      <c r="J223" t="s">
        <v>1866</v>
      </c>
      <c r="K223" s="383" t="s">
        <v>2301</v>
      </c>
    </row>
    <row r="224" spans="2:11">
      <c r="B224" t="s">
        <v>154</v>
      </c>
      <c r="C224" t="s">
        <v>1551</v>
      </c>
      <c r="D224" t="s">
        <v>2289</v>
      </c>
      <c r="E224" s="382" t="s">
        <v>2296</v>
      </c>
      <c r="F224" s="381">
        <v>160</v>
      </c>
      <c r="G224" s="384" t="s">
        <v>117</v>
      </c>
      <c r="H224" t="s">
        <v>117</v>
      </c>
      <c r="I224" t="str">
        <f t="shared" si="6"/>
        <v>LPDDR4_DQS_Driver_11_160_NA_NA</v>
      </c>
      <c r="J224" t="s">
        <v>1867</v>
      </c>
      <c r="K224" s="383" t="s">
        <v>2302</v>
      </c>
    </row>
    <row r="225" spans="2:11">
      <c r="B225" t="s">
        <v>154</v>
      </c>
      <c r="C225" t="s">
        <v>1551</v>
      </c>
      <c r="D225" t="s">
        <v>2289</v>
      </c>
      <c r="E225" s="382" t="s">
        <v>2293</v>
      </c>
      <c r="F225" s="381">
        <v>180</v>
      </c>
      <c r="G225" s="384" t="s">
        <v>117</v>
      </c>
      <c r="H225" t="s">
        <v>117</v>
      </c>
      <c r="I225" t="str">
        <f t="shared" si="6"/>
        <v>LPDDR4_DQS_Driver_00_180_NA_NA</v>
      </c>
      <c r="J225" t="s">
        <v>1868</v>
      </c>
      <c r="K225" s="383" t="s">
        <v>2299</v>
      </c>
    </row>
    <row r="226" spans="2:11">
      <c r="B226" t="s">
        <v>154</v>
      </c>
      <c r="C226" t="s">
        <v>1551</v>
      </c>
      <c r="D226" t="s">
        <v>2289</v>
      </c>
      <c r="E226" s="382" t="s">
        <v>2294</v>
      </c>
      <c r="F226" s="381">
        <v>180</v>
      </c>
      <c r="G226" s="384" t="s">
        <v>117</v>
      </c>
      <c r="H226" t="s">
        <v>117</v>
      </c>
      <c r="I226" t="str">
        <f t="shared" si="6"/>
        <v>LPDDR4_DQS_Driver_01_180_NA_NA</v>
      </c>
      <c r="J226" t="s">
        <v>1869</v>
      </c>
      <c r="K226" s="383" t="s">
        <v>2222</v>
      </c>
    </row>
    <row r="227" spans="2:11">
      <c r="B227" t="s">
        <v>154</v>
      </c>
      <c r="C227" t="s">
        <v>1551</v>
      </c>
      <c r="D227" t="s">
        <v>2289</v>
      </c>
      <c r="E227" s="382" t="s">
        <v>2295</v>
      </c>
      <c r="F227" s="381">
        <v>180</v>
      </c>
      <c r="G227" s="384" t="s">
        <v>117</v>
      </c>
      <c r="H227" t="s">
        <v>117</v>
      </c>
      <c r="I227" t="str">
        <f t="shared" si="6"/>
        <v>LPDDR4_DQS_Driver_10_180_NA_NA</v>
      </c>
      <c r="J227" t="s">
        <v>1870</v>
      </c>
      <c r="K227" t="s">
        <v>2223</v>
      </c>
    </row>
    <row r="228" spans="2:11">
      <c r="B228" t="s">
        <v>154</v>
      </c>
      <c r="C228" t="s">
        <v>1551</v>
      </c>
      <c r="D228" t="s">
        <v>2289</v>
      </c>
      <c r="E228" s="382" t="s">
        <v>2296</v>
      </c>
      <c r="F228" s="381">
        <v>180</v>
      </c>
      <c r="G228" s="384" t="s">
        <v>117</v>
      </c>
      <c r="H228" t="s">
        <v>117</v>
      </c>
      <c r="I228" t="str">
        <f t="shared" si="6"/>
        <v>LPDDR4_DQS_Driver_11_180_NA_NA</v>
      </c>
      <c r="J228" t="s">
        <v>1871</v>
      </c>
      <c r="K228" t="s">
        <v>2224</v>
      </c>
    </row>
    <row r="229" spans="2:11">
      <c r="B229" t="s">
        <v>154</v>
      </c>
      <c r="C229" t="s">
        <v>1551</v>
      </c>
      <c r="D229" t="s">
        <v>2289</v>
      </c>
      <c r="E229" s="382" t="s">
        <v>2293</v>
      </c>
      <c r="F229" s="381">
        <v>240</v>
      </c>
      <c r="G229" s="384" t="s">
        <v>117</v>
      </c>
      <c r="H229" t="s">
        <v>117</v>
      </c>
      <c r="I229" t="str">
        <f t="shared" si="6"/>
        <v>LPDDR4_DQS_Driver_00_240_NA_NA</v>
      </c>
      <c r="J229" t="s">
        <v>1872</v>
      </c>
      <c r="K229" t="s">
        <v>2225</v>
      </c>
    </row>
    <row r="230" spans="2:11">
      <c r="B230" t="s">
        <v>154</v>
      </c>
      <c r="C230" t="s">
        <v>1551</v>
      </c>
      <c r="D230" t="s">
        <v>2289</v>
      </c>
      <c r="E230" s="382" t="s">
        <v>2294</v>
      </c>
      <c r="F230" s="381">
        <v>240</v>
      </c>
      <c r="G230" s="384" t="s">
        <v>117</v>
      </c>
      <c r="H230" t="s">
        <v>117</v>
      </c>
      <c r="I230" t="str">
        <f t="shared" si="6"/>
        <v>LPDDR4_DQS_Driver_01_240_NA_NA</v>
      </c>
      <c r="J230" t="s">
        <v>1873</v>
      </c>
      <c r="K230" t="s">
        <v>2226</v>
      </c>
    </row>
    <row r="231" spans="2:11">
      <c r="B231" t="s">
        <v>154</v>
      </c>
      <c r="C231" t="s">
        <v>1551</v>
      </c>
      <c r="D231" t="s">
        <v>2289</v>
      </c>
      <c r="E231" s="382" t="s">
        <v>2295</v>
      </c>
      <c r="F231" s="381">
        <v>240</v>
      </c>
      <c r="G231" s="384" t="s">
        <v>117</v>
      </c>
      <c r="H231" t="s">
        <v>117</v>
      </c>
      <c r="I231" t="str">
        <f t="shared" si="6"/>
        <v>LPDDR4_DQS_Driver_10_240_NA_NA</v>
      </c>
      <c r="J231" t="s">
        <v>1874</v>
      </c>
      <c r="K231" t="s">
        <v>2227</v>
      </c>
    </row>
    <row r="232" spans="2:11">
      <c r="B232" t="s">
        <v>154</v>
      </c>
      <c r="C232" t="s">
        <v>1551</v>
      </c>
      <c r="D232" t="s">
        <v>2289</v>
      </c>
      <c r="E232" s="382" t="s">
        <v>2296</v>
      </c>
      <c r="F232" s="381">
        <v>240</v>
      </c>
      <c r="G232" s="384" t="s">
        <v>117</v>
      </c>
      <c r="H232" t="s">
        <v>117</v>
      </c>
      <c r="I232" t="str">
        <f t="shared" si="6"/>
        <v>LPDDR4_DQS_Driver_11_240_NA_NA</v>
      </c>
      <c r="J232" t="s">
        <v>1875</v>
      </c>
      <c r="K232" t="s">
        <v>2228</v>
      </c>
    </row>
    <row r="233" spans="2:11">
      <c r="B233" t="s">
        <v>154</v>
      </c>
      <c r="C233" t="s">
        <v>1551</v>
      </c>
      <c r="D233" s="383" t="s">
        <v>2289</v>
      </c>
      <c r="E233" s="382" t="s">
        <v>2293</v>
      </c>
      <c r="F233" s="385" t="s">
        <v>2304</v>
      </c>
      <c r="G233" s="384" t="s">
        <v>117</v>
      </c>
      <c r="H233" t="s">
        <v>117</v>
      </c>
      <c r="I233" t="str">
        <f t="shared" si="6"/>
        <v>LPDDR4_DQS_Driver_00_360_NA_NA</v>
      </c>
      <c r="J233" t="s">
        <v>1922</v>
      </c>
      <c r="K233" t="s">
        <v>2268</v>
      </c>
    </row>
    <row r="234" spans="2:11">
      <c r="B234" t="s">
        <v>154</v>
      </c>
      <c r="C234" t="s">
        <v>1551</v>
      </c>
      <c r="D234" s="383" t="s">
        <v>2289</v>
      </c>
      <c r="E234" s="382" t="s">
        <v>2294</v>
      </c>
      <c r="F234" s="382" t="s">
        <v>2304</v>
      </c>
      <c r="G234" s="384" t="s">
        <v>117</v>
      </c>
      <c r="H234" t="s">
        <v>117</v>
      </c>
      <c r="I234" t="str">
        <f t="shared" si="6"/>
        <v>LPDDR4_DQS_Driver_01_360_NA_NA</v>
      </c>
      <c r="J234" t="s">
        <v>1923</v>
      </c>
      <c r="K234" t="s">
        <v>2269</v>
      </c>
    </row>
    <row r="235" spans="2:11">
      <c r="B235" t="s">
        <v>154</v>
      </c>
      <c r="C235" t="s">
        <v>1551</v>
      </c>
      <c r="D235" s="383" t="s">
        <v>2289</v>
      </c>
      <c r="E235" s="382" t="s">
        <v>2295</v>
      </c>
      <c r="F235" s="382" t="s">
        <v>2304</v>
      </c>
      <c r="G235" s="384" t="s">
        <v>117</v>
      </c>
      <c r="H235" t="s">
        <v>117</v>
      </c>
      <c r="I235" t="str">
        <f t="shared" si="6"/>
        <v>LPDDR4_DQS_Driver_10_360_NA_NA</v>
      </c>
      <c r="J235" t="s">
        <v>1924</v>
      </c>
      <c r="K235" t="s">
        <v>2270</v>
      </c>
    </row>
    <row r="236" spans="2:11">
      <c r="B236" t="s">
        <v>154</v>
      </c>
      <c r="C236" t="s">
        <v>1551</v>
      </c>
      <c r="D236" s="383" t="s">
        <v>2289</v>
      </c>
      <c r="E236" s="382" t="s">
        <v>2296</v>
      </c>
      <c r="F236" s="382" t="s">
        <v>2304</v>
      </c>
      <c r="G236" s="384" t="s">
        <v>117</v>
      </c>
      <c r="H236" t="s">
        <v>117</v>
      </c>
      <c r="I236" t="str">
        <f t="shared" si="6"/>
        <v>LPDDR4_DQS_Driver_11_360_NA_NA</v>
      </c>
      <c r="J236" t="s">
        <v>1925</v>
      </c>
      <c r="K236" t="s">
        <v>2271</v>
      </c>
    </row>
    <row r="237" spans="2:11">
      <c r="B237" t="s">
        <v>154</v>
      </c>
      <c r="C237" t="s">
        <v>1551</v>
      </c>
      <c r="D237" t="s">
        <v>2289</v>
      </c>
      <c r="E237" s="382" t="s">
        <v>2293</v>
      </c>
      <c r="F237" s="381">
        <v>480</v>
      </c>
      <c r="G237" s="384" t="s">
        <v>117</v>
      </c>
      <c r="H237" t="s">
        <v>117</v>
      </c>
      <c r="I237" t="str">
        <f t="shared" si="6"/>
        <v>LPDDR4_DQS_Driver_00_480_NA_NA</v>
      </c>
      <c r="J237" t="s">
        <v>1876</v>
      </c>
      <c r="K237" t="s">
        <v>2229</v>
      </c>
    </row>
    <row r="238" spans="2:11">
      <c r="B238" t="s">
        <v>154</v>
      </c>
      <c r="C238" t="s">
        <v>1551</v>
      </c>
      <c r="D238" t="s">
        <v>2289</v>
      </c>
      <c r="E238" s="382" t="s">
        <v>2294</v>
      </c>
      <c r="F238" s="381">
        <v>480</v>
      </c>
      <c r="G238" s="384" t="s">
        <v>117</v>
      </c>
      <c r="H238" t="s">
        <v>117</v>
      </c>
      <c r="I238" t="str">
        <f t="shared" si="6"/>
        <v>LPDDR4_DQS_Driver_01_480_NA_NA</v>
      </c>
      <c r="J238" t="s">
        <v>1877</v>
      </c>
      <c r="K238" t="s">
        <v>2230</v>
      </c>
    </row>
    <row r="239" spans="2:11">
      <c r="B239" t="s">
        <v>154</v>
      </c>
      <c r="C239" t="s">
        <v>1551</v>
      </c>
      <c r="D239" t="s">
        <v>2289</v>
      </c>
      <c r="E239" s="382" t="s">
        <v>2295</v>
      </c>
      <c r="F239" s="381">
        <v>480</v>
      </c>
      <c r="G239" s="384" t="s">
        <v>117</v>
      </c>
      <c r="H239" t="s">
        <v>117</v>
      </c>
      <c r="I239" t="str">
        <f t="shared" si="6"/>
        <v>LPDDR4_DQS_Driver_10_480_NA_NA</v>
      </c>
      <c r="J239" t="s">
        <v>1878</v>
      </c>
      <c r="K239" t="s">
        <v>2231</v>
      </c>
    </row>
    <row r="240" spans="2:11">
      <c r="B240" t="s">
        <v>154</v>
      </c>
      <c r="C240" t="s">
        <v>1551</v>
      </c>
      <c r="D240" t="s">
        <v>2289</v>
      </c>
      <c r="E240" s="382" t="s">
        <v>2296</v>
      </c>
      <c r="F240" s="381">
        <v>480</v>
      </c>
      <c r="G240" s="384" t="s">
        <v>117</v>
      </c>
      <c r="H240" t="s">
        <v>117</v>
      </c>
      <c r="I240" t="str">
        <f t="shared" si="6"/>
        <v>LPDDR4_DQS_Driver_11_480_NA_NA</v>
      </c>
      <c r="J240" t="s">
        <v>1879</v>
      </c>
      <c r="K240" t="s">
        <v>2232</v>
      </c>
    </row>
    <row r="241" spans="2:11">
      <c r="B241" t="s">
        <v>154</v>
      </c>
      <c r="C241" t="s">
        <v>1551</v>
      </c>
      <c r="D241" s="383" t="s">
        <v>2290</v>
      </c>
      <c r="E241" s="382" t="s">
        <v>117</v>
      </c>
      <c r="F241" s="384" t="s">
        <v>117</v>
      </c>
      <c r="G241" s="384" t="s">
        <v>1101</v>
      </c>
      <c r="H241" t="s">
        <v>2306</v>
      </c>
      <c r="I241" t="str">
        <f t="shared" si="6"/>
        <v>LPDDR4_DQS_Receiver_NA_NA_disabled_PD415</v>
      </c>
      <c r="J241" t="s">
        <v>1947</v>
      </c>
      <c r="K241" t="s">
        <v>2279</v>
      </c>
    </row>
    <row r="242" spans="2:11">
      <c r="B242" t="s">
        <v>154</v>
      </c>
      <c r="C242" t="s">
        <v>1551</v>
      </c>
      <c r="D242" s="383" t="s">
        <v>2290</v>
      </c>
      <c r="E242" s="382" t="s">
        <v>117</v>
      </c>
      <c r="F242" s="384" t="s">
        <v>117</v>
      </c>
      <c r="G242" s="384" t="s">
        <v>1101</v>
      </c>
      <c r="H242" t="s">
        <v>2307</v>
      </c>
      <c r="I242" t="str">
        <f t="shared" si="6"/>
        <v>LPDDR4_DQS_Receiver_NA_NA_disabled_PD500</v>
      </c>
      <c r="J242" t="s">
        <v>1948</v>
      </c>
      <c r="K242" t="s">
        <v>2280</v>
      </c>
    </row>
    <row r="243" spans="2:11">
      <c r="B243" t="s">
        <v>154</v>
      </c>
      <c r="C243" t="s">
        <v>1551</v>
      </c>
      <c r="D243" s="383" t="s">
        <v>2290</v>
      </c>
      <c r="E243" s="382" t="s">
        <v>117</v>
      </c>
      <c r="F243" s="384" t="s">
        <v>117</v>
      </c>
      <c r="G243" s="384" t="s">
        <v>1101</v>
      </c>
      <c r="H243" t="s">
        <v>2308</v>
      </c>
      <c r="I243" t="str">
        <f t="shared" si="6"/>
        <v>LPDDR4_DQS_Receiver_NA_NA_disabled_PD620</v>
      </c>
      <c r="J243" t="s">
        <v>1949</v>
      </c>
      <c r="K243" t="s">
        <v>2281</v>
      </c>
    </row>
    <row r="244" spans="2:11">
      <c r="B244" t="s">
        <v>154</v>
      </c>
      <c r="C244" t="s">
        <v>1551</v>
      </c>
      <c r="D244" s="383" t="s">
        <v>2290</v>
      </c>
      <c r="E244" s="382" t="s">
        <v>117</v>
      </c>
      <c r="F244" s="384" t="s">
        <v>117</v>
      </c>
      <c r="G244" s="384" t="s">
        <v>1101</v>
      </c>
      <c r="H244" t="s">
        <v>2309</v>
      </c>
      <c r="I244" t="str">
        <f t="shared" si="6"/>
        <v>LPDDR4_DQS_Receiver_NA_NA_disabled_PU415</v>
      </c>
      <c r="J244" t="s">
        <v>1950</v>
      </c>
      <c r="K244" t="s">
        <v>2282</v>
      </c>
    </row>
    <row r="245" spans="2:11">
      <c r="B245" t="s">
        <v>154</v>
      </c>
      <c r="C245" t="s">
        <v>1551</v>
      </c>
      <c r="D245" s="383" t="s">
        <v>2290</v>
      </c>
      <c r="E245" s="382" t="s">
        <v>117</v>
      </c>
      <c r="F245" s="384" t="s">
        <v>117</v>
      </c>
      <c r="G245" s="384" t="s">
        <v>1101</v>
      </c>
      <c r="H245" t="s">
        <v>2310</v>
      </c>
      <c r="I245" t="str">
        <f t="shared" si="6"/>
        <v>LPDDR4_DQS_Receiver_NA_NA_disabled_PU500</v>
      </c>
      <c r="J245" t="s">
        <v>1951</v>
      </c>
      <c r="K245" t="s">
        <v>2283</v>
      </c>
    </row>
    <row r="246" spans="2:11">
      <c r="B246" t="s">
        <v>154</v>
      </c>
      <c r="C246" t="s">
        <v>1551</v>
      </c>
      <c r="D246" s="383" t="s">
        <v>2290</v>
      </c>
      <c r="E246" s="382" t="s">
        <v>117</v>
      </c>
      <c r="F246" s="384" t="s">
        <v>117</v>
      </c>
      <c r="G246" s="384" t="s">
        <v>1101</v>
      </c>
      <c r="H246" t="s">
        <v>2311</v>
      </c>
      <c r="I246" t="str">
        <f t="shared" si="6"/>
        <v>LPDDR4_DQS_Receiver_NA_NA_disabled_PU620</v>
      </c>
      <c r="J246" t="s">
        <v>1952</v>
      </c>
      <c r="K246" t="s">
        <v>2284</v>
      </c>
    </row>
    <row r="247" spans="2:11">
      <c r="B247" t="s">
        <v>154</v>
      </c>
      <c r="C247" t="s">
        <v>1551</v>
      </c>
      <c r="D247" s="383" t="s">
        <v>2290</v>
      </c>
      <c r="E247" s="382" t="s">
        <v>117</v>
      </c>
      <c r="F247" s="384" t="s">
        <v>117</v>
      </c>
      <c r="G247" s="384" t="s">
        <v>1101</v>
      </c>
      <c r="H247" t="s">
        <v>2312</v>
      </c>
      <c r="I247" t="str">
        <f t="shared" si="6"/>
        <v>LPDDR4_DQS_Receiver_NA_NA_disabled_NONE</v>
      </c>
      <c r="J247" t="s">
        <v>1953</v>
      </c>
      <c r="K247" t="s">
        <v>2285</v>
      </c>
    </row>
    <row r="248" spans="2:11">
      <c r="B248" t="s">
        <v>154</v>
      </c>
      <c r="C248" t="s">
        <v>1551</v>
      </c>
      <c r="D248" s="383" t="s">
        <v>2290</v>
      </c>
      <c r="E248" s="382" t="s">
        <v>117</v>
      </c>
      <c r="F248" s="384" t="s">
        <v>117</v>
      </c>
      <c r="G248" s="381">
        <v>40</v>
      </c>
      <c r="H248" t="s">
        <v>2306</v>
      </c>
      <c r="I248" t="str">
        <f t="shared" si="6"/>
        <v>LPDDR4_DQS_Receiver_NA_NA_40_PD415</v>
      </c>
      <c r="J248" t="s">
        <v>1880</v>
      </c>
      <c r="K248" t="s">
        <v>2233</v>
      </c>
    </row>
    <row r="249" spans="2:11">
      <c r="B249" t="s">
        <v>154</v>
      </c>
      <c r="C249" t="s">
        <v>1551</v>
      </c>
      <c r="D249" s="383" t="s">
        <v>2290</v>
      </c>
      <c r="E249" s="382" t="s">
        <v>117</v>
      </c>
      <c r="F249" s="384" t="s">
        <v>117</v>
      </c>
      <c r="G249" s="381">
        <v>40</v>
      </c>
      <c r="H249" t="s">
        <v>2307</v>
      </c>
      <c r="I249" t="str">
        <f t="shared" si="6"/>
        <v>LPDDR4_DQS_Receiver_NA_NA_40_PD500</v>
      </c>
      <c r="J249" t="s">
        <v>1881</v>
      </c>
      <c r="K249" t="s">
        <v>2234</v>
      </c>
    </row>
    <row r="250" spans="2:11">
      <c r="B250" t="s">
        <v>154</v>
      </c>
      <c r="C250" t="s">
        <v>1551</v>
      </c>
      <c r="D250" s="383" t="s">
        <v>2290</v>
      </c>
      <c r="E250" s="382" t="s">
        <v>117</v>
      </c>
      <c r="F250" s="384" t="s">
        <v>117</v>
      </c>
      <c r="G250" s="381">
        <v>40</v>
      </c>
      <c r="H250" t="s">
        <v>2308</v>
      </c>
      <c r="I250" t="str">
        <f t="shared" si="6"/>
        <v>LPDDR4_DQS_Receiver_NA_NA_40_PD620</v>
      </c>
      <c r="J250" t="s">
        <v>1882</v>
      </c>
      <c r="K250" t="s">
        <v>2235</v>
      </c>
    </row>
    <row r="251" spans="2:11">
      <c r="B251" t="s">
        <v>154</v>
      </c>
      <c r="C251" t="s">
        <v>1551</v>
      </c>
      <c r="D251" s="383" t="s">
        <v>2290</v>
      </c>
      <c r="E251" s="382" t="s">
        <v>117</v>
      </c>
      <c r="F251" s="384" t="s">
        <v>117</v>
      </c>
      <c r="G251" s="381">
        <v>40</v>
      </c>
      <c r="H251" t="s">
        <v>2309</v>
      </c>
      <c r="I251" t="str">
        <f t="shared" si="6"/>
        <v>LPDDR4_DQS_Receiver_NA_NA_40_PU415</v>
      </c>
      <c r="J251" t="s">
        <v>1883</v>
      </c>
      <c r="K251" t="s">
        <v>2236</v>
      </c>
    </row>
    <row r="252" spans="2:11">
      <c r="B252" t="s">
        <v>154</v>
      </c>
      <c r="C252" t="s">
        <v>1551</v>
      </c>
      <c r="D252" s="383" t="s">
        <v>2290</v>
      </c>
      <c r="E252" s="382" t="s">
        <v>117</v>
      </c>
      <c r="F252" s="384" t="s">
        <v>117</v>
      </c>
      <c r="G252" s="381">
        <v>40</v>
      </c>
      <c r="H252" t="s">
        <v>2310</v>
      </c>
      <c r="I252" t="str">
        <f t="shared" si="6"/>
        <v>LPDDR4_DQS_Receiver_NA_NA_40_PU500</v>
      </c>
      <c r="J252" t="s">
        <v>1884</v>
      </c>
      <c r="K252" t="s">
        <v>2237</v>
      </c>
    </row>
    <row r="253" spans="2:11">
      <c r="B253" t="s">
        <v>154</v>
      </c>
      <c r="C253" t="s">
        <v>1551</v>
      </c>
      <c r="D253" s="383" t="s">
        <v>2290</v>
      </c>
      <c r="E253" s="382" t="s">
        <v>117</v>
      </c>
      <c r="F253" s="384" t="s">
        <v>117</v>
      </c>
      <c r="G253" s="381">
        <v>40</v>
      </c>
      <c r="H253" t="s">
        <v>2311</v>
      </c>
      <c r="I253" t="str">
        <f t="shared" si="6"/>
        <v>LPDDR4_DQS_Receiver_NA_NA_40_PU620</v>
      </c>
      <c r="J253" t="s">
        <v>1885</v>
      </c>
      <c r="K253" t="s">
        <v>2238</v>
      </c>
    </row>
    <row r="254" spans="2:11">
      <c r="B254" t="s">
        <v>154</v>
      </c>
      <c r="C254" t="s">
        <v>1551</v>
      </c>
      <c r="D254" s="383" t="s">
        <v>2290</v>
      </c>
      <c r="E254" s="382" t="s">
        <v>117</v>
      </c>
      <c r="F254" s="384" t="s">
        <v>117</v>
      </c>
      <c r="G254" s="381">
        <v>40</v>
      </c>
      <c r="H254" t="s">
        <v>2312</v>
      </c>
      <c r="I254" t="str">
        <f t="shared" si="6"/>
        <v>LPDDR4_DQS_Receiver_NA_NA_40_NONE</v>
      </c>
      <c r="J254" t="s">
        <v>1886</v>
      </c>
      <c r="K254" t="s">
        <v>2239</v>
      </c>
    </row>
    <row r="255" spans="2:11">
      <c r="B255" t="s">
        <v>154</v>
      </c>
      <c r="C255" t="s">
        <v>1551</v>
      </c>
      <c r="D255" s="383" t="s">
        <v>2290</v>
      </c>
      <c r="E255" s="382" t="s">
        <v>117</v>
      </c>
      <c r="F255" s="384" t="s">
        <v>117</v>
      </c>
      <c r="G255" s="381">
        <v>48</v>
      </c>
      <c r="H255" t="s">
        <v>2306</v>
      </c>
      <c r="I255" t="str">
        <f t="shared" si="6"/>
        <v>LPDDR4_DQS_Receiver_NA_NA_48_PD415</v>
      </c>
      <c r="J255" t="s">
        <v>1887</v>
      </c>
      <c r="K255" t="s">
        <v>2240</v>
      </c>
    </row>
    <row r="256" spans="2:11">
      <c r="B256" t="s">
        <v>154</v>
      </c>
      <c r="C256" t="s">
        <v>1551</v>
      </c>
      <c r="D256" s="383" t="s">
        <v>2290</v>
      </c>
      <c r="E256" s="382" t="s">
        <v>117</v>
      </c>
      <c r="F256" s="384" t="s">
        <v>117</v>
      </c>
      <c r="G256" s="381">
        <v>48</v>
      </c>
      <c r="H256" t="s">
        <v>2307</v>
      </c>
      <c r="I256" t="str">
        <f t="shared" si="6"/>
        <v>LPDDR4_DQS_Receiver_NA_NA_48_PD500</v>
      </c>
      <c r="J256" t="s">
        <v>1888</v>
      </c>
      <c r="K256" t="s">
        <v>2241</v>
      </c>
    </row>
    <row r="257" spans="2:13">
      <c r="B257" t="s">
        <v>154</v>
      </c>
      <c r="C257" t="s">
        <v>1551</v>
      </c>
      <c r="D257" s="383" t="s">
        <v>2290</v>
      </c>
      <c r="E257" s="382" t="s">
        <v>117</v>
      </c>
      <c r="F257" s="384" t="s">
        <v>117</v>
      </c>
      <c r="G257" s="381">
        <v>48</v>
      </c>
      <c r="H257" t="s">
        <v>2308</v>
      </c>
      <c r="I257" t="str">
        <f t="shared" si="6"/>
        <v>LPDDR4_DQS_Receiver_NA_NA_48_PD620</v>
      </c>
      <c r="J257" t="s">
        <v>1889</v>
      </c>
      <c r="K257" t="s">
        <v>2242</v>
      </c>
    </row>
    <row r="258" spans="2:13">
      <c r="B258" t="s">
        <v>154</v>
      </c>
      <c r="C258" t="s">
        <v>1551</v>
      </c>
      <c r="D258" s="383" t="s">
        <v>2290</v>
      </c>
      <c r="E258" s="382" t="s">
        <v>117</v>
      </c>
      <c r="F258" s="384" t="s">
        <v>117</v>
      </c>
      <c r="G258" s="381">
        <v>48</v>
      </c>
      <c r="H258" t="s">
        <v>2309</v>
      </c>
      <c r="I258" t="str">
        <f t="shared" si="6"/>
        <v>LPDDR4_DQS_Receiver_NA_NA_48_PU415</v>
      </c>
      <c r="J258" t="s">
        <v>1890</v>
      </c>
      <c r="K258" t="s">
        <v>2243</v>
      </c>
    </row>
    <row r="259" spans="2:13">
      <c r="B259" t="s">
        <v>154</v>
      </c>
      <c r="C259" t="s">
        <v>1551</v>
      </c>
      <c r="D259" s="383" t="s">
        <v>2290</v>
      </c>
      <c r="E259" s="382" t="s">
        <v>117</v>
      </c>
      <c r="F259" s="384" t="s">
        <v>117</v>
      </c>
      <c r="G259" s="381">
        <v>48</v>
      </c>
      <c r="H259" t="s">
        <v>2310</v>
      </c>
      <c r="I259" t="str">
        <f t="shared" si="6"/>
        <v>LPDDR4_DQS_Receiver_NA_NA_48_PU500</v>
      </c>
      <c r="J259" t="s">
        <v>1891</v>
      </c>
      <c r="K259" t="s">
        <v>2244</v>
      </c>
    </row>
    <row r="260" spans="2:13">
      <c r="B260" t="s">
        <v>154</v>
      </c>
      <c r="C260" t="s">
        <v>1551</v>
      </c>
      <c r="D260" s="383" t="s">
        <v>2290</v>
      </c>
      <c r="E260" s="382" t="s">
        <v>117</v>
      </c>
      <c r="F260" s="384" t="s">
        <v>117</v>
      </c>
      <c r="G260" s="381">
        <v>48</v>
      </c>
      <c r="H260" t="s">
        <v>2311</v>
      </c>
      <c r="I260" t="str">
        <f t="shared" si="6"/>
        <v>LPDDR4_DQS_Receiver_NA_NA_48_PU620</v>
      </c>
      <c r="J260" t="s">
        <v>1892</v>
      </c>
      <c r="K260" t="s">
        <v>2245</v>
      </c>
    </row>
    <row r="261" spans="2:13">
      <c r="B261" t="s">
        <v>154</v>
      </c>
      <c r="C261" t="s">
        <v>1551</v>
      </c>
      <c r="D261" s="383" t="s">
        <v>2290</v>
      </c>
      <c r="E261" s="382" t="s">
        <v>117</v>
      </c>
      <c r="F261" s="384" t="s">
        <v>117</v>
      </c>
      <c r="G261" s="381">
        <v>48</v>
      </c>
      <c r="H261" t="s">
        <v>2312</v>
      </c>
      <c r="I261" t="str">
        <f t="shared" si="6"/>
        <v>LPDDR4_DQS_Receiver_NA_NA_48_NONE</v>
      </c>
      <c r="J261" t="s">
        <v>1893</v>
      </c>
      <c r="K261" t="s">
        <v>2246</v>
      </c>
    </row>
    <row r="262" spans="2:13">
      <c r="B262" t="s">
        <v>154</v>
      </c>
      <c r="C262" t="s">
        <v>1551</v>
      </c>
      <c r="D262" s="383" t="s">
        <v>2290</v>
      </c>
      <c r="E262" s="382" t="s">
        <v>117</v>
      </c>
      <c r="F262" s="384" t="s">
        <v>117</v>
      </c>
      <c r="G262" s="381">
        <v>60</v>
      </c>
      <c r="H262" t="s">
        <v>2306</v>
      </c>
      <c r="I262" t="str">
        <f t="shared" si="6"/>
        <v>LPDDR4_DQS_Receiver_NA_NA_60_PD415</v>
      </c>
      <c r="J262" t="s">
        <v>1894</v>
      </c>
      <c r="K262" t="s">
        <v>2247</v>
      </c>
    </row>
    <row r="263" spans="2:13">
      <c r="B263" t="s">
        <v>154</v>
      </c>
      <c r="C263" t="s">
        <v>1551</v>
      </c>
      <c r="D263" s="383" t="s">
        <v>2290</v>
      </c>
      <c r="E263" s="382" t="s">
        <v>117</v>
      </c>
      <c r="F263" s="384" t="s">
        <v>117</v>
      </c>
      <c r="G263" s="381">
        <v>60</v>
      </c>
      <c r="H263" t="s">
        <v>2307</v>
      </c>
      <c r="I263" t="str">
        <f t="shared" si="6"/>
        <v>LPDDR4_DQS_Receiver_NA_NA_60_PD500</v>
      </c>
      <c r="J263" t="s">
        <v>1895</v>
      </c>
      <c r="K263" t="s">
        <v>2248</v>
      </c>
    </row>
    <row r="264" spans="2:13">
      <c r="B264" t="s">
        <v>154</v>
      </c>
      <c r="C264" t="s">
        <v>1551</v>
      </c>
      <c r="D264" s="383" t="s">
        <v>2290</v>
      </c>
      <c r="E264" s="382" t="s">
        <v>117</v>
      </c>
      <c r="F264" s="384" t="s">
        <v>117</v>
      </c>
      <c r="G264" s="381">
        <v>60</v>
      </c>
      <c r="H264" t="s">
        <v>2308</v>
      </c>
      <c r="I264" t="str">
        <f t="shared" si="6"/>
        <v>LPDDR4_DQS_Receiver_NA_NA_60_PD620</v>
      </c>
      <c r="J264" t="s">
        <v>1896</v>
      </c>
      <c r="K264" t="s">
        <v>2249</v>
      </c>
    </row>
    <row r="265" spans="2:13">
      <c r="B265" t="s">
        <v>154</v>
      </c>
      <c r="C265" t="s">
        <v>1551</v>
      </c>
      <c r="D265" s="383" t="s">
        <v>2290</v>
      </c>
      <c r="E265" s="382" t="s">
        <v>117</v>
      </c>
      <c r="F265" s="384" t="s">
        <v>117</v>
      </c>
      <c r="G265" s="381">
        <v>60</v>
      </c>
      <c r="H265" t="s">
        <v>2309</v>
      </c>
      <c r="I265" t="str">
        <f t="shared" si="6"/>
        <v>LPDDR4_DQS_Receiver_NA_NA_60_PU415</v>
      </c>
      <c r="J265" t="s">
        <v>1897</v>
      </c>
      <c r="K265" t="s">
        <v>2250</v>
      </c>
    </row>
    <row r="266" spans="2:13">
      <c r="B266" t="s">
        <v>154</v>
      </c>
      <c r="C266" t="s">
        <v>1551</v>
      </c>
      <c r="D266" s="383" t="s">
        <v>2290</v>
      </c>
      <c r="E266" s="382" t="s">
        <v>117</v>
      </c>
      <c r="F266" s="384" t="s">
        <v>117</v>
      </c>
      <c r="G266" s="381">
        <v>60</v>
      </c>
      <c r="H266" t="s">
        <v>2310</v>
      </c>
      <c r="I266" t="str">
        <f t="shared" si="6"/>
        <v>LPDDR4_DQS_Receiver_NA_NA_60_PU500</v>
      </c>
      <c r="J266" t="s">
        <v>1898</v>
      </c>
      <c r="K266" t="s">
        <v>2251</v>
      </c>
    </row>
    <row r="267" spans="2:13">
      <c r="B267" t="s">
        <v>154</v>
      </c>
      <c r="C267" t="s">
        <v>1551</v>
      </c>
      <c r="D267" s="383" t="s">
        <v>2290</v>
      </c>
      <c r="E267" s="382" t="s">
        <v>117</v>
      </c>
      <c r="F267" s="384" t="s">
        <v>117</v>
      </c>
      <c r="G267" s="381">
        <v>60</v>
      </c>
      <c r="H267" t="s">
        <v>2311</v>
      </c>
      <c r="I267" t="str">
        <f t="shared" si="6"/>
        <v>LPDDR4_DQS_Receiver_NA_NA_60_PU620</v>
      </c>
      <c r="J267" t="s">
        <v>1899</v>
      </c>
      <c r="K267" t="s">
        <v>2252</v>
      </c>
    </row>
    <row r="268" spans="2:13">
      <c r="B268" t="s">
        <v>154</v>
      </c>
      <c r="C268" t="s">
        <v>1551</v>
      </c>
      <c r="D268" s="383" t="s">
        <v>2290</v>
      </c>
      <c r="E268" s="382" t="s">
        <v>117</v>
      </c>
      <c r="F268" s="384" t="s">
        <v>117</v>
      </c>
      <c r="G268" s="381">
        <v>60</v>
      </c>
      <c r="H268" t="s">
        <v>2312</v>
      </c>
      <c r="I268" t="str">
        <f t="shared" si="6"/>
        <v>LPDDR4_DQS_Receiver_NA_NA_60_NONE</v>
      </c>
      <c r="J268" t="s">
        <v>1900</v>
      </c>
      <c r="K268" t="s">
        <v>2253</v>
      </c>
    </row>
    <row r="269" spans="2:13">
      <c r="B269" t="s">
        <v>154</v>
      </c>
      <c r="C269" t="s">
        <v>1551</v>
      </c>
      <c r="D269" s="383" t="s">
        <v>2290</v>
      </c>
      <c r="E269" s="382" t="s">
        <v>117</v>
      </c>
      <c r="F269" s="384" t="s">
        <v>117</v>
      </c>
      <c r="G269" s="381">
        <v>80</v>
      </c>
      <c r="H269" t="s">
        <v>2306</v>
      </c>
      <c r="I269" t="str">
        <f t="shared" si="6"/>
        <v>LPDDR4_DQS_Receiver_NA_NA_80_PD415</v>
      </c>
      <c r="J269" t="s">
        <v>1901</v>
      </c>
      <c r="K269" t="s">
        <v>2254</v>
      </c>
      <c r="L269" t="s">
        <v>1933</v>
      </c>
      <c r="M269" t="s">
        <v>2254</v>
      </c>
    </row>
    <row r="270" spans="2:13">
      <c r="B270" t="s">
        <v>154</v>
      </c>
      <c r="C270" t="s">
        <v>1551</v>
      </c>
      <c r="D270" s="383" t="s">
        <v>2290</v>
      </c>
      <c r="E270" s="382" t="s">
        <v>117</v>
      </c>
      <c r="F270" s="384" t="s">
        <v>117</v>
      </c>
      <c r="G270" s="381">
        <v>80</v>
      </c>
      <c r="H270" t="s">
        <v>2307</v>
      </c>
      <c r="I270" t="str">
        <f t="shared" si="6"/>
        <v>LPDDR4_DQS_Receiver_NA_NA_80_PD500</v>
      </c>
      <c r="J270" t="s">
        <v>1902</v>
      </c>
      <c r="K270" t="s">
        <v>2255</v>
      </c>
      <c r="L270" t="s">
        <v>1934</v>
      </c>
      <c r="M270" t="s">
        <v>2255</v>
      </c>
    </row>
    <row r="271" spans="2:13">
      <c r="B271" t="s">
        <v>154</v>
      </c>
      <c r="C271" t="s">
        <v>1551</v>
      </c>
      <c r="D271" s="383" t="s">
        <v>2290</v>
      </c>
      <c r="E271" s="382" t="s">
        <v>117</v>
      </c>
      <c r="F271" s="384" t="s">
        <v>117</v>
      </c>
      <c r="G271" s="381">
        <v>80</v>
      </c>
      <c r="H271" t="s">
        <v>2308</v>
      </c>
      <c r="I271" t="str">
        <f t="shared" ref="I271:I334" si="7">CONCATENATE(B271,"_",C271,"_",D271,"_",E271,"_",F271,"_",G271,"_",H271)</f>
        <v>LPDDR4_DQS_Receiver_NA_NA_80_PD620</v>
      </c>
      <c r="J271" t="s">
        <v>1903</v>
      </c>
      <c r="K271" t="s">
        <v>2256</v>
      </c>
      <c r="L271" t="s">
        <v>1935</v>
      </c>
      <c r="M271" t="s">
        <v>2256</v>
      </c>
    </row>
    <row r="272" spans="2:13">
      <c r="B272" t="s">
        <v>154</v>
      </c>
      <c r="C272" t="s">
        <v>1551</v>
      </c>
      <c r="D272" s="383" t="s">
        <v>2290</v>
      </c>
      <c r="E272" s="382" t="s">
        <v>117</v>
      </c>
      <c r="F272" s="384" t="s">
        <v>117</v>
      </c>
      <c r="G272" s="381">
        <v>80</v>
      </c>
      <c r="H272" t="s">
        <v>2309</v>
      </c>
      <c r="I272" t="str">
        <f t="shared" si="7"/>
        <v>LPDDR4_DQS_Receiver_NA_NA_80_PU415</v>
      </c>
      <c r="J272" t="s">
        <v>1904</v>
      </c>
      <c r="K272" t="s">
        <v>2257</v>
      </c>
      <c r="L272" t="s">
        <v>1936</v>
      </c>
      <c r="M272" t="s">
        <v>2257</v>
      </c>
    </row>
    <row r="273" spans="2:13">
      <c r="B273" t="s">
        <v>154</v>
      </c>
      <c r="C273" t="s">
        <v>1551</v>
      </c>
      <c r="D273" s="383" t="s">
        <v>2290</v>
      </c>
      <c r="E273" s="382" t="s">
        <v>117</v>
      </c>
      <c r="F273" s="384" t="s">
        <v>117</v>
      </c>
      <c r="G273" s="381">
        <v>80</v>
      </c>
      <c r="H273" t="s">
        <v>2310</v>
      </c>
      <c r="I273" t="str">
        <f t="shared" si="7"/>
        <v>LPDDR4_DQS_Receiver_NA_NA_80_PU500</v>
      </c>
      <c r="J273" t="s">
        <v>1905</v>
      </c>
      <c r="K273" t="s">
        <v>2258</v>
      </c>
      <c r="L273" t="s">
        <v>1937</v>
      </c>
      <c r="M273" t="s">
        <v>2258</v>
      </c>
    </row>
    <row r="274" spans="2:13">
      <c r="B274" t="s">
        <v>154</v>
      </c>
      <c r="C274" t="s">
        <v>1551</v>
      </c>
      <c r="D274" s="383" t="s">
        <v>2290</v>
      </c>
      <c r="E274" s="382" t="s">
        <v>117</v>
      </c>
      <c r="F274" s="384" t="s">
        <v>117</v>
      </c>
      <c r="G274" s="381">
        <v>80</v>
      </c>
      <c r="H274" t="s">
        <v>2311</v>
      </c>
      <c r="I274" t="str">
        <f t="shared" si="7"/>
        <v>LPDDR4_DQS_Receiver_NA_NA_80_PU620</v>
      </c>
      <c r="J274" t="s">
        <v>1906</v>
      </c>
      <c r="K274" t="s">
        <v>2259</v>
      </c>
      <c r="L274" t="s">
        <v>1938</v>
      </c>
      <c r="M274" t="s">
        <v>2259</v>
      </c>
    </row>
    <row r="275" spans="2:13">
      <c r="B275" t="s">
        <v>154</v>
      </c>
      <c r="C275" t="s">
        <v>1551</v>
      </c>
      <c r="D275" s="383" t="s">
        <v>2290</v>
      </c>
      <c r="E275" s="382" t="s">
        <v>117</v>
      </c>
      <c r="F275" s="384" t="s">
        <v>117</v>
      </c>
      <c r="G275" s="381">
        <v>80</v>
      </c>
      <c r="H275" t="s">
        <v>2312</v>
      </c>
      <c r="I275" t="str">
        <f t="shared" si="7"/>
        <v>LPDDR4_DQS_Receiver_NA_NA_80_NONE</v>
      </c>
      <c r="J275" t="s">
        <v>1907</v>
      </c>
      <c r="K275" t="s">
        <v>2260</v>
      </c>
      <c r="L275" t="s">
        <v>1939</v>
      </c>
      <c r="M275" t="s">
        <v>2260</v>
      </c>
    </row>
    <row r="276" spans="2:13">
      <c r="B276" t="s">
        <v>154</v>
      </c>
      <c r="C276" t="s">
        <v>1551</v>
      </c>
      <c r="D276" s="383" t="s">
        <v>2290</v>
      </c>
      <c r="E276" s="382" t="s">
        <v>117</v>
      </c>
      <c r="F276" s="384" t="s">
        <v>117</v>
      </c>
      <c r="G276" s="381">
        <v>120</v>
      </c>
      <c r="H276" t="s">
        <v>2306</v>
      </c>
      <c r="I276" t="str">
        <f t="shared" si="7"/>
        <v>LPDDR4_DQS_Receiver_NA_NA_120_PD415</v>
      </c>
      <c r="J276" t="s">
        <v>1908</v>
      </c>
      <c r="K276" t="s">
        <v>2261</v>
      </c>
      <c r="L276" t="s">
        <v>1940</v>
      </c>
      <c r="M276" t="s">
        <v>2261</v>
      </c>
    </row>
    <row r="277" spans="2:13">
      <c r="B277" t="s">
        <v>154</v>
      </c>
      <c r="C277" t="s">
        <v>1551</v>
      </c>
      <c r="D277" s="383" t="s">
        <v>2290</v>
      </c>
      <c r="E277" s="382" t="s">
        <v>117</v>
      </c>
      <c r="F277" s="384" t="s">
        <v>117</v>
      </c>
      <c r="G277" s="381">
        <v>120</v>
      </c>
      <c r="H277" t="s">
        <v>2307</v>
      </c>
      <c r="I277" t="str">
        <f t="shared" si="7"/>
        <v>LPDDR4_DQS_Receiver_NA_NA_120_PD500</v>
      </c>
      <c r="J277" t="s">
        <v>1909</v>
      </c>
      <c r="K277" t="s">
        <v>2262</v>
      </c>
      <c r="L277" t="s">
        <v>1941</v>
      </c>
      <c r="M277" t="s">
        <v>2262</v>
      </c>
    </row>
    <row r="278" spans="2:13">
      <c r="B278" t="s">
        <v>154</v>
      </c>
      <c r="C278" t="s">
        <v>1551</v>
      </c>
      <c r="D278" s="383" t="s">
        <v>2290</v>
      </c>
      <c r="E278" s="382" t="s">
        <v>117</v>
      </c>
      <c r="F278" s="384" t="s">
        <v>117</v>
      </c>
      <c r="G278" s="381">
        <v>120</v>
      </c>
      <c r="H278" t="s">
        <v>2308</v>
      </c>
      <c r="I278" t="str">
        <f t="shared" si="7"/>
        <v>LPDDR4_DQS_Receiver_NA_NA_120_PD620</v>
      </c>
      <c r="J278" t="s">
        <v>1910</v>
      </c>
      <c r="K278" t="s">
        <v>2263</v>
      </c>
      <c r="L278" t="s">
        <v>1942</v>
      </c>
      <c r="M278" t="s">
        <v>2263</v>
      </c>
    </row>
    <row r="279" spans="2:13">
      <c r="B279" t="s">
        <v>154</v>
      </c>
      <c r="C279" t="s">
        <v>1551</v>
      </c>
      <c r="D279" s="383" t="s">
        <v>2290</v>
      </c>
      <c r="E279" s="382" t="s">
        <v>117</v>
      </c>
      <c r="F279" s="384" t="s">
        <v>117</v>
      </c>
      <c r="G279" s="381">
        <v>120</v>
      </c>
      <c r="H279" t="s">
        <v>2309</v>
      </c>
      <c r="I279" t="str">
        <f t="shared" si="7"/>
        <v>LPDDR4_DQS_Receiver_NA_NA_120_PU415</v>
      </c>
      <c r="J279" t="s">
        <v>1911</v>
      </c>
      <c r="K279" t="s">
        <v>2264</v>
      </c>
      <c r="L279" t="s">
        <v>1943</v>
      </c>
      <c r="M279" t="s">
        <v>2264</v>
      </c>
    </row>
    <row r="280" spans="2:13">
      <c r="B280" t="s">
        <v>154</v>
      </c>
      <c r="C280" t="s">
        <v>1551</v>
      </c>
      <c r="D280" s="383" t="s">
        <v>2290</v>
      </c>
      <c r="E280" s="382" t="s">
        <v>117</v>
      </c>
      <c r="F280" s="384" t="s">
        <v>117</v>
      </c>
      <c r="G280" s="381">
        <v>120</v>
      </c>
      <c r="H280" t="s">
        <v>2310</v>
      </c>
      <c r="I280" t="str">
        <f t="shared" si="7"/>
        <v>LPDDR4_DQS_Receiver_NA_NA_120_PU500</v>
      </c>
      <c r="J280" t="s">
        <v>1912</v>
      </c>
      <c r="K280" t="s">
        <v>2265</v>
      </c>
      <c r="L280" t="s">
        <v>1944</v>
      </c>
      <c r="M280" t="s">
        <v>2265</v>
      </c>
    </row>
    <row r="281" spans="2:13">
      <c r="B281" t="s">
        <v>154</v>
      </c>
      <c r="C281" t="s">
        <v>1551</v>
      </c>
      <c r="D281" s="383" t="s">
        <v>2290</v>
      </c>
      <c r="E281" s="382" t="s">
        <v>117</v>
      </c>
      <c r="F281" s="384" t="s">
        <v>117</v>
      </c>
      <c r="G281" s="381">
        <v>120</v>
      </c>
      <c r="H281" t="s">
        <v>2311</v>
      </c>
      <c r="I281" t="str">
        <f t="shared" si="7"/>
        <v>LPDDR4_DQS_Receiver_NA_NA_120_PU620</v>
      </c>
      <c r="J281" t="s">
        <v>1913</v>
      </c>
      <c r="K281" t="s">
        <v>2266</v>
      </c>
      <c r="L281" t="s">
        <v>1945</v>
      </c>
      <c r="M281" t="s">
        <v>2266</v>
      </c>
    </row>
    <row r="282" spans="2:13">
      <c r="B282" t="s">
        <v>154</v>
      </c>
      <c r="C282" t="s">
        <v>1551</v>
      </c>
      <c r="D282" s="383" t="s">
        <v>2290</v>
      </c>
      <c r="E282" s="382" t="s">
        <v>117</v>
      </c>
      <c r="F282" s="384" t="s">
        <v>117</v>
      </c>
      <c r="G282" s="381">
        <v>120</v>
      </c>
      <c r="H282" t="s">
        <v>2312</v>
      </c>
      <c r="I282" t="str">
        <f t="shared" si="7"/>
        <v>LPDDR4_DQS_Receiver_NA_NA_120_NONE</v>
      </c>
      <c r="J282" t="s">
        <v>1914</v>
      </c>
      <c r="K282" t="s">
        <v>2267</v>
      </c>
      <c r="L282" t="s">
        <v>1946</v>
      </c>
      <c r="M282" t="s">
        <v>2267</v>
      </c>
    </row>
    <row r="283" spans="2:13">
      <c r="B283" t="s">
        <v>154</v>
      </c>
      <c r="C283" t="s">
        <v>1551</v>
      </c>
      <c r="D283" s="383" t="s">
        <v>2290</v>
      </c>
      <c r="E283" s="382" t="s">
        <v>117</v>
      </c>
      <c r="F283" s="384" t="s">
        <v>117</v>
      </c>
      <c r="G283" s="381">
        <v>240</v>
      </c>
      <c r="H283" t="s">
        <v>2306</v>
      </c>
      <c r="I283" t="str">
        <f t="shared" si="7"/>
        <v>LPDDR4_DQS_Receiver_NA_NA_240_PD415</v>
      </c>
      <c r="J283" t="s">
        <v>1915</v>
      </c>
      <c r="K283" t="s">
        <v>2305</v>
      </c>
      <c r="L283" t="s">
        <v>1932</v>
      </c>
      <c r="M283" t="s">
        <v>2278</v>
      </c>
    </row>
    <row r="284" spans="2:13">
      <c r="B284" t="s">
        <v>154</v>
      </c>
      <c r="C284" t="s">
        <v>1551</v>
      </c>
      <c r="D284" s="383" t="s">
        <v>2290</v>
      </c>
      <c r="E284" s="382" t="s">
        <v>117</v>
      </c>
      <c r="F284" s="384" t="s">
        <v>117</v>
      </c>
      <c r="G284" s="381">
        <v>240</v>
      </c>
      <c r="H284" t="s">
        <v>2307</v>
      </c>
      <c r="I284" t="str">
        <f t="shared" si="7"/>
        <v>LPDDR4_DQS_Receiver_NA_NA_240_PD500</v>
      </c>
      <c r="J284" t="s">
        <v>1916</v>
      </c>
      <c r="K284" t="s">
        <v>2272</v>
      </c>
      <c r="L284" t="s">
        <v>1926</v>
      </c>
      <c r="M284" t="s">
        <v>2272</v>
      </c>
    </row>
    <row r="285" spans="2:13">
      <c r="B285" t="s">
        <v>154</v>
      </c>
      <c r="C285" t="s">
        <v>1551</v>
      </c>
      <c r="D285" s="383" t="s">
        <v>2290</v>
      </c>
      <c r="E285" s="382" t="s">
        <v>117</v>
      </c>
      <c r="F285" s="384" t="s">
        <v>117</v>
      </c>
      <c r="G285" s="381">
        <v>240</v>
      </c>
      <c r="H285" t="s">
        <v>2308</v>
      </c>
      <c r="I285" t="str">
        <f t="shared" si="7"/>
        <v>LPDDR4_DQS_Receiver_NA_NA_240_PD620</v>
      </c>
      <c r="J285" t="s">
        <v>1917</v>
      </c>
      <c r="K285" t="s">
        <v>2273</v>
      </c>
      <c r="L285" t="s">
        <v>1927</v>
      </c>
      <c r="M285" t="s">
        <v>2273</v>
      </c>
    </row>
    <row r="286" spans="2:13">
      <c r="B286" t="s">
        <v>154</v>
      </c>
      <c r="C286" t="s">
        <v>1551</v>
      </c>
      <c r="D286" s="383" t="s">
        <v>2290</v>
      </c>
      <c r="E286" s="382" t="s">
        <v>117</v>
      </c>
      <c r="F286" s="384" t="s">
        <v>117</v>
      </c>
      <c r="G286" s="381">
        <v>240</v>
      </c>
      <c r="H286" t="s">
        <v>2309</v>
      </c>
      <c r="I286" t="str">
        <f t="shared" si="7"/>
        <v>LPDDR4_DQS_Receiver_NA_NA_240_PU415</v>
      </c>
      <c r="J286" t="s">
        <v>1918</v>
      </c>
      <c r="K286" t="s">
        <v>2274</v>
      </c>
      <c r="L286" t="s">
        <v>1928</v>
      </c>
      <c r="M286" t="s">
        <v>2274</v>
      </c>
    </row>
    <row r="287" spans="2:13">
      <c r="B287" t="s">
        <v>154</v>
      </c>
      <c r="C287" t="s">
        <v>1551</v>
      </c>
      <c r="D287" s="383" t="s">
        <v>2290</v>
      </c>
      <c r="E287" s="382" t="s">
        <v>117</v>
      </c>
      <c r="F287" s="384" t="s">
        <v>117</v>
      </c>
      <c r="G287" s="381">
        <v>240</v>
      </c>
      <c r="H287" t="s">
        <v>2310</v>
      </c>
      <c r="I287" t="str">
        <f t="shared" si="7"/>
        <v>LPDDR4_DQS_Receiver_NA_NA_240_PU500</v>
      </c>
      <c r="J287" t="s">
        <v>1919</v>
      </c>
      <c r="K287" t="s">
        <v>2275</v>
      </c>
      <c r="L287" t="s">
        <v>1929</v>
      </c>
      <c r="M287" t="s">
        <v>2275</v>
      </c>
    </row>
    <row r="288" spans="2:13">
      <c r="B288" t="s">
        <v>154</v>
      </c>
      <c r="C288" t="s">
        <v>1551</v>
      </c>
      <c r="D288" s="383" t="s">
        <v>2290</v>
      </c>
      <c r="E288" s="382" t="s">
        <v>117</v>
      </c>
      <c r="F288" s="384" t="s">
        <v>117</v>
      </c>
      <c r="G288" s="381">
        <v>240</v>
      </c>
      <c r="H288" t="s">
        <v>2311</v>
      </c>
      <c r="I288" t="str">
        <f t="shared" si="7"/>
        <v>LPDDR4_DQS_Receiver_NA_NA_240_PU620</v>
      </c>
      <c r="J288" t="s">
        <v>1920</v>
      </c>
      <c r="K288" t="s">
        <v>2276</v>
      </c>
      <c r="L288" t="s">
        <v>1930</v>
      </c>
      <c r="M288" t="s">
        <v>2276</v>
      </c>
    </row>
    <row r="289" spans="2:13">
      <c r="B289" t="s">
        <v>154</v>
      </c>
      <c r="C289" t="s">
        <v>1551</v>
      </c>
      <c r="D289" s="383" t="s">
        <v>2290</v>
      </c>
      <c r="E289" s="382" t="s">
        <v>117</v>
      </c>
      <c r="F289" s="384" t="s">
        <v>117</v>
      </c>
      <c r="G289" s="381">
        <v>240</v>
      </c>
      <c r="H289" t="s">
        <v>2312</v>
      </c>
      <c r="I289" t="str">
        <f t="shared" si="7"/>
        <v>LPDDR4_DQS_Receiver_NA_NA_240_NONE</v>
      </c>
      <c r="J289" t="s">
        <v>1921</v>
      </c>
      <c r="K289" t="s">
        <v>2277</v>
      </c>
      <c r="L289" t="s">
        <v>1931</v>
      </c>
      <c r="M289" t="s">
        <v>2277</v>
      </c>
    </row>
    <row r="290" spans="2:13">
      <c r="B290" t="s">
        <v>2286</v>
      </c>
      <c r="C290" t="s">
        <v>1550</v>
      </c>
      <c r="D290" t="s">
        <v>2289</v>
      </c>
      <c r="E290" s="382" t="s">
        <v>2294</v>
      </c>
      <c r="F290" s="384">
        <v>34.299999999999997</v>
      </c>
      <c r="G290" s="384" t="s">
        <v>117</v>
      </c>
      <c r="H290" t="s">
        <v>117</v>
      </c>
      <c r="I290" t="str">
        <f t="shared" si="7"/>
        <v>DDR3L_Clock_Driver_01_34.3_NA_NA</v>
      </c>
      <c r="J290" t="s">
        <v>1552</v>
      </c>
      <c r="K290" t="s">
        <v>1562</v>
      </c>
    </row>
    <row r="291" spans="2:13">
      <c r="B291" t="s">
        <v>2286</v>
      </c>
      <c r="C291" t="s">
        <v>1550</v>
      </c>
      <c r="D291" t="s">
        <v>2289</v>
      </c>
      <c r="E291" s="382" t="s">
        <v>2295</v>
      </c>
      <c r="F291" s="384">
        <v>34.299999999999997</v>
      </c>
      <c r="G291" s="384" t="s">
        <v>117</v>
      </c>
      <c r="H291" t="s">
        <v>117</v>
      </c>
      <c r="I291" t="str">
        <f t="shared" si="7"/>
        <v>DDR3L_Clock_Driver_10_34.3_NA_NA</v>
      </c>
      <c r="J291" t="s">
        <v>1553</v>
      </c>
      <c r="K291" t="s">
        <v>1563</v>
      </c>
    </row>
    <row r="292" spans="2:13">
      <c r="B292" t="s">
        <v>2286</v>
      </c>
      <c r="C292" t="s">
        <v>1550</v>
      </c>
      <c r="D292" t="s">
        <v>2289</v>
      </c>
      <c r="E292" s="382" t="s">
        <v>2296</v>
      </c>
      <c r="F292" s="384">
        <v>34.299999999999997</v>
      </c>
      <c r="G292" s="384" t="s">
        <v>117</v>
      </c>
      <c r="H292" t="s">
        <v>117</v>
      </c>
      <c r="I292" t="str">
        <f t="shared" si="7"/>
        <v>DDR3L_Clock_Driver_11_34.3_NA_NA</v>
      </c>
      <c r="J292" t="s">
        <v>1554</v>
      </c>
      <c r="K292" t="s">
        <v>1564</v>
      </c>
    </row>
    <row r="293" spans="2:13">
      <c r="B293" t="s">
        <v>2286</v>
      </c>
      <c r="C293" t="s">
        <v>1550</v>
      </c>
      <c r="D293" t="s">
        <v>2289</v>
      </c>
      <c r="E293" s="382" t="s">
        <v>2293</v>
      </c>
      <c r="F293" s="384">
        <v>34.299999999999997</v>
      </c>
      <c r="G293" s="384" t="s">
        <v>117</v>
      </c>
      <c r="H293" t="s">
        <v>117</v>
      </c>
      <c r="I293" t="str">
        <f t="shared" si="7"/>
        <v>DDR3L_Clock_Driver_00_34.3_NA_NA</v>
      </c>
      <c r="J293" t="s">
        <v>1555</v>
      </c>
      <c r="K293" t="s">
        <v>1560</v>
      </c>
    </row>
    <row r="294" spans="2:13">
      <c r="B294" t="s">
        <v>2286</v>
      </c>
      <c r="C294" t="s">
        <v>1550</v>
      </c>
      <c r="D294" t="s">
        <v>2289</v>
      </c>
      <c r="E294" s="382" t="s">
        <v>2294</v>
      </c>
      <c r="F294" s="384">
        <v>40</v>
      </c>
      <c r="G294" s="384" t="s">
        <v>117</v>
      </c>
      <c r="H294" t="s">
        <v>117</v>
      </c>
      <c r="I294" t="str">
        <f t="shared" si="7"/>
        <v>DDR3L_Clock_Driver_01_40_NA_NA</v>
      </c>
      <c r="J294" t="s">
        <v>1556</v>
      </c>
      <c r="K294" t="s">
        <v>1565</v>
      </c>
    </row>
    <row r="295" spans="2:13">
      <c r="B295" t="s">
        <v>2286</v>
      </c>
      <c r="C295" t="s">
        <v>1550</v>
      </c>
      <c r="D295" t="s">
        <v>2289</v>
      </c>
      <c r="E295" s="382" t="s">
        <v>2295</v>
      </c>
      <c r="F295" s="384">
        <v>40</v>
      </c>
      <c r="G295" s="384" t="s">
        <v>117</v>
      </c>
      <c r="H295" t="s">
        <v>117</v>
      </c>
      <c r="I295" t="str">
        <f t="shared" si="7"/>
        <v>DDR3L_Clock_Driver_10_40_NA_NA</v>
      </c>
      <c r="J295" t="s">
        <v>1557</v>
      </c>
      <c r="K295" t="s">
        <v>1566</v>
      </c>
    </row>
    <row r="296" spans="2:13">
      <c r="B296" t="s">
        <v>2286</v>
      </c>
      <c r="C296" t="s">
        <v>1550</v>
      </c>
      <c r="D296" t="s">
        <v>2289</v>
      </c>
      <c r="E296" s="382" t="s">
        <v>2296</v>
      </c>
      <c r="F296" s="384">
        <v>40</v>
      </c>
      <c r="G296" s="384" t="s">
        <v>117</v>
      </c>
      <c r="H296" t="s">
        <v>117</v>
      </c>
      <c r="I296" t="str">
        <f t="shared" si="7"/>
        <v>DDR3L_Clock_Driver_11_40_NA_NA</v>
      </c>
      <c r="J296" t="s">
        <v>1558</v>
      </c>
      <c r="K296" t="s">
        <v>1567</v>
      </c>
    </row>
    <row r="297" spans="2:13">
      <c r="B297" t="s">
        <v>2286</v>
      </c>
      <c r="C297" t="s">
        <v>1550</v>
      </c>
      <c r="D297" t="s">
        <v>2289</v>
      </c>
      <c r="E297" s="382" t="s">
        <v>2293</v>
      </c>
      <c r="F297" s="384">
        <v>40</v>
      </c>
      <c r="G297" s="384" t="s">
        <v>117</v>
      </c>
      <c r="H297" t="s">
        <v>117</v>
      </c>
      <c r="I297" t="str">
        <f t="shared" si="7"/>
        <v>DDR3L_Clock_Driver_00_40_NA_NA</v>
      </c>
      <c r="J297" t="s">
        <v>1559</v>
      </c>
      <c r="K297" t="s">
        <v>1561</v>
      </c>
    </row>
    <row r="298" spans="2:13">
      <c r="B298" t="s">
        <v>2286</v>
      </c>
      <c r="C298" t="s">
        <v>2323</v>
      </c>
      <c r="D298" t="s">
        <v>2289</v>
      </c>
      <c r="E298" s="382" t="s">
        <v>2293</v>
      </c>
      <c r="F298" s="384">
        <v>34.299999999999997</v>
      </c>
      <c r="G298" s="384" t="s">
        <v>117</v>
      </c>
      <c r="H298" t="s">
        <v>117</v>
      </c>
      <c r="I298" t="str">
        <f t="shared" si="7"/>
        <v>DDR3L_Data_ACC_Driver_00_34.3_NA_NA</v>
      </c>
      <c r="J298" t="s">
        <v>1672</v>
      </c>
      <c r="K298" t="s">
        <v>1761</v>
      </c>
    </row>
    <row r="299" spans="2:13">
      <c r="B299" t="s">
        <v>2286</v>
      </c>
      <c r="C299" t="s">
        <v>2323</v>
      </c>
      <c r="D299" t="s">
        <v>2289</v>
      </c>
      <c r="E299" s="382" t="s">
        <v>2294</v>
      </c>
      <c r="F299" s="384">
        <v>34.299999999999997</v>
      </c>
      <c r="G299" s="384" t="s">
        <v>117</v>
      </c>
      <c r="H299" t="s">
        <v>117</v>
      </c>
      <c r="I299" t="str">
        <f t="shared" si="7"/>
        <v>DDR3L_Data_ACC_Driver_01_34.3_NA_NA</v>
      </c>
      <c r="J299" t="s">
        <v>1673</v>
      </c>
      <c r="K299" t="s">
        <v>1762</v>
      </c>
    </row>
    <row r="300" spans="2:13">
      <c r="B300" t="s">
        <v>2286</v>
      </c>
      <c r="C300" t="s">
        <v>2323</v>
      </c>
      <c r="D300" t="s">
        <v>2289</v>
      </c>
      <c r="E300" s="382" t="s">
        <v>2295</v>
      </c>
      <c r="F300" s="384">
        <v>34.299999999999997</v>
      </c>
      <c r="G300" s="384" t="s">
        <v>117</v>
      </c>
      <c r="H300" t="s">
        <v>117</v>
      </c>
      <c r="I300" t="str">
        <f t="shared" si="7"/>
        <v>DDR3L_Data_ACC_Driver_10_34.3_NA_NA</v>
      </c>
      <c r="J300" t="s">
        <v>1674</v>
      </c>
      <c r="K300" t="s">
        <v>1763</v>
      </c>
    </row>
    <row r="301" spans="2:13">
      <c r="B301" t="s">
        <v>2286</v>
      </c>
      <c r="C301" t="s">
        <v>2323</v>
      </c>
      <c r="D301" t="s">
        <v>2289</v>
      </c>
      <c r="E301" s="382" t="s">
        <v>2296</v>
      </c>
      <c r="F301" s="384">
        <v>34.299999999999997</v>
      </c>
      <c r="G301" s="384" t="s">
        <v>117</v>
      </c>
      <c r="H301" t="s">
        <v>117</v>
      </c>
      <c r="I301" t="str">
        <f t="shared" si="7"/>
        <v>DDR3L_Data_ACC_Driver_11_34.3_NA_NA</v>
      </c>
      <c r="J301" t="s">
        <v>1675</v>
      </c>
      <c r="K301" t="s">
        <v>1764</v>
      </c>
    </row>
    <row r="302" spans="2:13">
      <c r="B302" t="s">
        <v>2286</v>
      </c>
      <c r="C302" t="s">
        <v>2323</v>
      </c>
      <c r="D302" t="s">
        <v>2289</v>
      </c>
      <c r="E302" s="382" t="s">
        <v>2293</v>
      </c>
      <c r="F302" s="384">
        <v>40</v>
      </c>
      <c r="G302" s="384" t="s">
        <v>117</v>
      </c>
      <c r="H302" t="s">
        <v>117</v>
      </c>
      <c r="I302" t="str">
        <f t="shared" si="7"/>
        <v>DDR3L_Data_ACC_Driver_00_40_NA_NA</v>
      </c>
      <c r="J302" t="s">
        <v>1676</v>
      </c>
      <c r="K302" t="s">
        <v>1765</v>
      </c>
    </row>
    <row r="303" spans="2:13">
      <c r="B303" t="s">
        <v>2286</v>
      </c>
      <c r="C303" t="s">
        <v>2323</v>
      </c>
      <c r="D303" t="s">
        <v>2289</v>
      </c>
      <c r="E303" s="382" t="s">
        <v>2294</v>
      </c>
      <c r="F303" s="384">
        <v>40</v>
      </c>
      <c r="G303" s="384" t="s">
        <v>117</v>
      </c>
      <c r="H303" t="s">
        <v>117</v>
      </c>
      <c r="I303" t="str">
        <f t="shared" si="7"/>
        <v>DDR3L_Data_ACC_Driver_01_40_NA_NA</v>
      </c>
      <c r="J303" t="s">
        <v>1677</v>
      </c>
      <c r="K303" t="s">
        <v>1766</v>
      </c>
    </row>
    <row r="304" spans="2:13">
      <c r="B304" t="s">
        <v>2286</v>
      </c>
      <c r="C304" t="s">
        <v>2323</v>
      </c>
      <c r="D304" t="s">
        <v>2289</v>
      </c>
      <c r="E304" s="382" t="s">
        <v>2295</v>
      </c>
      <c r="F304" s="384">
        <v>40</v>
      </c>
      <c r="G304" s="384" t="s">
        <v>117</v>
      </c>
      <c r="H304" t="s">
        <v>117</v>
      </c>
      <c r="I304" t="str">
        <f t="shared" si="7"/>
        <v>DDR3L_Data_ACC_Driver_10_40_NA_NA</v>
      </c>
      <c r="J304" t="s">
        <v>1678</v>
      </c>
      <c r="K304" t="s">
        <v>1767</v>
      </c>
    </row>
    <row r="305" spans="2:11">
      <c r="B305" t="s">
        <v>2286</v>
      </c>
      <c r="C305" t="s">
        <v>2323</v>
      </c>
      <c r="D305" t="s">
        <v>2289</v>
      </c>
      <c r="E305" s="382" t="s">
        <v>2296</v>
      </c>
      <c r="F305" s="384">
        <v>40</v>
      </c>
      <c r="G305" s="384" t="s">
        <v>117</v>
      </c>
      <c r="H305" t="s">
        <v>117</v>
      </c>
      <c r="I305" t="str">
        <f t="shared" si="7"/>
        <v>DDR3L_Data_ACC_Driver_11_40_NA_NA</v>
      </c>
      <c r="J305" t="s">
        <v>1679</v>
      </c>
      <c r="K305" t="s">
        <v>1768</v>
      </c>
    </row>
    <row r="306" spans="2:11">
      <c r="B306" t="s">
        <v>2286</v>
      </c>
      <c r="C306" t="s">
        <v>2323</v>
      </c>
      <c r="D306" t="s">
        <v>2290</v>
      </c>
      <c r="E306" s="382" t="s">
        <v>117</v>
      </c>
      <c r="F306" s="384" t="s">
        <v>117</v>
      </c>
      <c r="G306" s="384" t="s">
        <v>1101</v>
      </c>
      <c r="H306" t="s">
        <v>2312</v>
      </c>
      <c r="I306" t="str">
        <f t="shared" si="7"/>
        <v>DDR3L_Data_ACC_Receiver_NA_NA_disabled_NONE</v>
      </c>
      <c r="J306" t="s">
        <v>1683</v>
      </c>
      <c r="K306" t="s">
        <v>1772</v>
      </c>
    </row>
    <row r="307" spans="2:11">
      <c r="B307" t="s">
        <v>2286</v>
      </c>
      <c r="C307" t="s">
        <v>2323</v>
      </c>
      <c r="D307" t="s">
        <v>2290</v>
      </c>
      <c r="E307" s="382" t="s">
        <v>117</v>
      </c>
      <c r="F307" s="384" t="s">
        <v>117</v>
      </c>
      <c r="G307" s="381">
        <v>40</v>
      </c>
      <c r="H307" t="s">
        <v>2312</v>
      </c>
      <c r="I307" t="str">
        <f t="shared" si="7"/>
        <v>DDR3L_Data_ACC_Receiver_NA_NA_40_NONE</v>
      </c>
      <c r="J307" t="s">
        <v>1681</v>
      </c>
      <c r="K307" t="s">
        <v>1770</v>
      </c>
    </row>
    <row r="308" spans="2:11">
      <c r="B308" t="s">
        <v>2286</v>
      </c>
      <c r="C308" t="s">
        <v>2323</v>
      </c>
      <c r="D308" t="s">
        <v>2290</v>
      </c>
      <c r="E308" s="382" t="s">
        <v>117</v>
      </c>
      <c r="F308" s="384" t="s">
        <v>117</v>
      </c>
      <c r="G308" s="381">
        <v>60</v>
      </c>
      <c r="H308" t="s">
        <v>2312</v>
      </c>
      <c r="I308" t="str">
        <f t="shared" si="7"/>
        <v>DDR3L_Data_ACC_Receiver_NA_NA_60_NONE</v>
      </c>
      <c r="J308" t="s">
        <v>1682</v>
      </c>
      <c r="K308" t="s">
        <v>1771</v>
      </c>
    </row>
    <row r="309" spans="2:11">
      <c r="B309" t="s">
        <v>2286</v>
      </c>
      <c r="C309" t="s">
        <v>2323</v>
      </c>
      <c r="D309" t="s">
        <v>2290</v>
      </c>
      <c r="E309" s="382" t="s">
        <v>117</v>
      </c>
      <c r="F309" s="384" t="s">
        <v>117</v>
      </c>
      <c r="G309" s="381">
        <v>120</v>
      </c>
      <c r="H309" t="s">
        <v>2312</v>
      </c>
      <c r="I309" t="str">
        <f t="shared" si="7"/>
        <v>DDR3L_Data_ACC_Receiver_NA_NA_120_NONE</v>
      </c>
      <c r="J309" t="s">
        <v>1680</v>
      </c>
      <c r="K309" t="s">
        <v>1769</v>
      </c>
    </row>
    <row r="310" spans="2:11">
      <c r="B310" t="s">
        <v>2286</v>
      </c>
      <c r="C310" t="s">
        <v>1551</v>
      </c>
      <c r="D310" t="s">
        <v>2289</v>
      </c>
      <c r="E310" s="382" t="s">
        <v>2293</v>
      </c>
      <c r="F310" s="384">
        <v>34.299999999999997</v>
      </c>
      <c r="G310" s="384" t="s">
        <v>117</v>
      </c>
      <c r="H310" t="s">
        <v>117</v>
      </c>
      <c r="I310" t="str">
        <f t="shared" si="7"/>
        <v>DDR3L_DQS_Driver_00_34.3_NA_NA</v>
      </c>
      <c r="J310" t="s">
        <v>2067</v>
      </c>
      <c r="K310" t="s">
        <v>2161</v>
      </c>
    </row>
    <row r="311" spans="2:11">
      <c r="B311" t="s">
        <v>2286</v>
      </c>
      <c r="C311" t="s">
        <v>1551</v>
      </c>
      <c r="D311" t="s">
        <v>2289</v>
      </c>
      <c r="E311" s="382" t="s">
        <v>2294</v>
      </c>
      <c r="F311" s="384">
        <v>34.299999999999997</v>
      </c>
      <c r="G311" s="384" t="s">
        <v>117</v>
      </c>
      <c r="H311" t="s">
        <v>117</v>
      </c>
      <c r="I311" t="str">
        <f t="shared" si="7"/>
        <v>DDR3L_DQS_Driver_01_34.3_NA_NA</v>
      </c>
      <c r="J311" t="s">
        <v>2068</v>
      </c>
      <c r="K311" t="s">
        <v>2162</v>
      </c>
    </row>
    <row r="312" spans="2:11">
      <c r="B312" t="s">
        <v>2286</v>
      </c>
      <c r="C312" t="s">
        <v>1551</v>
      </c>
      <c r="D312" t="s">
        <v>2289</v>
      </c>
      <c r="E312" s="382" t="s">
        <v>2295</v>
      </c>
      <c r="F312" s="384">
        <v>34.299999999999997</v>
      </c>
      <c r="G312" s="384" t="s">
        <v>117</v>
      </c>
      <c r="H312" t="s">
        <v>117</v>
      </c>
      <c r="I312" t="str">
        <f t="shared" si="7"/>
        <v>DDR3L_DQS_Driver_10_34.3_NA_NA</v>
      </c>
      <c r="J312" t="s">
        <v>2069</v>
      </c>
      <c r="K312" t="s">
        <v>2163</v>
      </c>
    </row>
    <row r="313" spans="2:11">
      <c r="B313" t="s">
        <v>2286</v>
      </c>
      <c r="C313" t="s">
        <v>1551</v>
      </c>
      <c r="D313" t="s">
        <v>2289</v>
      </c>
      <c r="E313" s="382" t="s">
        <v>2296</v>
      </c>
      <c r="F313" s="384">
        <v>34.299999999999997</v>
      </c>
      <c r="G313" s="384" t="s">
        <v>117</v>
      </c>
      <c r="H313" t="s">
        <v>117</v>
      </c>
      <c r="I313" t="str">
        <f t="shared" si="7"/>
        <v>DDR3L_DQS_Driver_11_34.3_NA_NA</v>
      </c>
      <c r="J313" t="s">
        <v>2070</v>
      </c>
      <c r="K313" t="s">
        <v>2164</v>
      </c>
    </row>
    <row r="314" spans="2:11">
      <c r="B314" t="s">
        <v>2286</v>
      </c>
      <c r="C314" t="s">
        <v>1551</v>
      </c>
      <c r="D314" t="s">
        <v>2289</v>
      </c>
      <c r="E314" s="382" t="s">
        <v>2293</v>
      </c>
      <c r="F314" s="384">
        <v>40</v>
      </c>
      <c r="G314" s="384" t="s">
        <v>117</v>
      </c>
      <c r="H314" t="s">
        <v>117</v>
      </c>
      <c r="I314" t="str">
        <f t="shared" si="7"/>
        <v>DDR3L_DQS_Driver_00_40_NA_NA</v>
      </c>
      <c r="J314" t="s">
        <v>2071</v>
      </c>
      <c r="K314" t="s">
        <v>2165</v>
      </c>
    </row>
    <row r="315" spans="2:11">
      <c r="B315" t="s">
        <v>2286</v>
      </c>
      <c r="C315" t="s">
        <v>1551</v>
      </c>
      <c r="D315" t="s">
        <v>2289</v>
      </c>
      <c r="E315" s="382" t="s">
        <v>2294</v>
      </c>
      <c r="F315" s="384">
        <v>40</v>
      </c>
      <c r="G315" s="384" t="s">
        <v>117</v>
      </c>
      <c r="H315" t="s">
        <v>117</v>
      </c>
      <c r="I315" t="str">
        <f t="shared" si="7"/>
        <v>DDR3L_DQS_Driver_01_40_NA_NA</v>
      </c>
      <c r="J315" t="s">
        <v>2072</v>
      </c>
      <c r="K315" t="s">
        <v>2166</v>
      </c>
    </row>
    <row r="316" spans="2:11">
      <c r="B316" t="s">
        <v>2286</v>
      </c>
      <c r="C316" t="s">
        <v>1551</v>
      </c>
      <c r="D316" t="s">
        <v>2289</v>
      </c>
      <c r="E316" s="382" t="s">
        <v>2295</v>
      </c>
      <c r="F316" s="384">
        <v>40</v>
      </c>
      <c r="G316" s="384" t="s">
        <v>117</v>
      </c>
      <c r="H316" t="s">
        <v>117</v>
      </c>
      <c r="I316" t="str">
        <f t="shared" si="7"/>
        <v>DDR3L_DQS_Driver_10_40_NA_NA</v>
      </c>
      <c r="J316" t="s">
        <v>2073</v>
      </c>
      <c r="K316" t="s">
        <v>2167</v>
      </c>
    </row>
    <row r="317" spans="2:11">
      <c r="B317" t="s">
        <v>2286</v>
      </c>
      <c r="C317" t="s">
        <v>1551</v>
      </c>
      <c r="D317" t="s">
        <v>2289</v>
      </c>
      <c r="E317" s="382" t="s">
        <v>2296</v>
      </c>
      <c r="F317" s="384">
        <v>40</v>
      </c>
      <c r="G317" s="384" t="s">
        <v>117</v>
      </c>
      <c r="H317" t="s">
        <v>117</v>
      </c>
      <c r="I317" t="str">
        <f t="shared" si="7"/>
        <v>DDR3L_DQS_Driver_11_40_NA_NA</v>
      </c>
      <c r="J317" t="s">
        <v>2074</v>
      </c>
      <c r="K317" t="s">
        <v>2168</v>
      </c>
    </row>
    <row r="318" spans="2:11">
      <c r="B318" t="s">
        <v>2286</v>
      </c>
      <c r="C318" t="s">
        <v>1551</v>
      </c>
      <c r="D318" t="s">
        <v>2290</v>
      </c>
      <c r="E318" s="382" t="s">
        <v>117</v>
      </c>
      <c r="F318" s="384" t="s">
        <v>117</v>
      </c>
      <c r="G318" s="384" t="s">
        <v>1101</v>
      </c>
      <c r="H318" t="s">
        <v>2306</v>
      </c>
      <c r="I318" t="str">
        <f t="shared" si="7"/>
        <v>DDR3L_DQS_Receiver_NA_NA_disabled_PD415</v>
      </c>
      <c r="J318" t="s">
        <v>2096</v>
      </c>
      <c r="K318" t="s">
        <v>2190</v>
      </c>
    </row>
    <row r="319" spans="2:11">
      <c r="B319" t="s">
        <v>2286</v>
      </c>
      <c r="C319" t="s">
        <v>1551</v>
      </c>
      <c r="D319" t="s">
        <v>2290</v>
      </c>
      <c r="E319" s="382" t="s">
        <v>117</v>
      </c>
      <c r="F319" s="384" t="s">
        <v>117</v>
      </c>
      <c r="G319" s="384" t="s">
        <v>1101</v>
      </c>
      <c r="H319" t="s">
        <v>2307</v>
      </c>
      <c r="I319" t="str">
        <f t="shared" si="7"/>
        <v>DDR3L_DQS_Receiver_NA_NA_disabled_PD500</v>
      </c>
      <c r="J319" t="s">
        <v>2097</v>
      </c>
      <c r="K319" t="s">
        <v>2191</v>
      </c>
    </row>
    <row r="320" spans="2:11">
      <c r="B320" t="s">
        <v>2286</v>
      </c>
      <c r="C320" t="s">
        <v>1551</v>
      </c>
      <c r="D320" t="s">
        <v>2290</v>
      </c>
      <c r="E320" s="382" t="s">
        <v>117</v>
      </c>
      <c r="F320" s="384" t="s">
        <v>117</v>
      </c>
      <c r="G320" s="384" t="s">
        <v>1101</v>
      </c>
      <c r="H320" t="s">
        <v>2308</v>
      </c>
      <c r="I320" t="str">
        <f t="shared" si="7"/>
        <v>DDR3L_DQS_Receiver_NA_NA_disabled_PD620</v>
      </c>
      <c r="J320" t="s">
        <v>2098</v>
      </c>
      <c r="K320" t="s">
        <v>2192</v>
      </c>
    </row>
    <row r="321" spans="2:11">
      <c r="B321" t="s">
        <v>2286</v>
      </c>
      <c r="C321" t="s">
        <v>1551</v>
      </c>
      <c r="D321" t="s">
        <v>2290</v>
      </c>
      <c r="E321" s="382" t="s">
        <v>117</v>
      </c>
      <c r="F321" s="384" t="s">
        <v>117</v>
      </c>
      <c r="G321" s="384" t="s">
        <v>1101</v>
      </c>
      <c r="H321" t="s">
        <v>2309</v>
      </c>
      <c r="I321" t="str">
        <f t="shared" si="7"/>
        <v>DDR3L_DQS_Receiver_NA_NA_disabled_PU415</v>
      </c>
      <c r="J321" t="s">
        <v>2099</v>
      </c>
      <c r="K321" t="s">
        <v>2193</v>
      </c>
    </row>
    <row r="322" spans="2:11">
      <c r="B322" t="s">
        <v>2286</v>
      </c>
      <c r="C322" t="s">
        <v>1551</v>
      </c>
      <c r="D322" t="s">
        <v>2290</v>
      </c>
      <c r="E322" s="382" t="s">
        <v>117</v>
      </c>
      <c r="F322" s="384" t="s">
        <v>117</v>
      </c>
      <c r="G322" s="384" t="s">
        <v>1101</v>
      </c>
      <c r="H322" t="s">
        <v>2310</v>
      </c>
      <c r="I322" t="str">
        <f t="shared" si="7"/>
        <v>DDR3L_DQS_Receiver_NA_NA_disabled_PU500</v>
      </c>
      <c r="J322" t="s">
        <v>2100</v>
      </c>
      <c r="K322" t="s">
        <v>2194</v>
      </c>
    </row>
    <row r="323" spans="2:11">
      <c r="B323" t="s">
        <v>2286</v>
      </c>
      <c r="C323" t="s">
        <v>1551</v>
      </c>
      <c r="D323" t="s">
        <v>2290</v>
      </c>
      <c r="E323" s="382" t="s">
        <v>117</v>
      </c>
      <c r="F323" s="384" t="s">
        <v>117</v>
      </c>
      <c r="G323" s="384" t="s">
        <v>1101</v>
      </c>
      <c r="H323" t="s">
        <v>2311</v>
      </c>
      <c r="I323" t="str">
        <f t="shared" si="7"/>
        <v>DDR3L_DQS_Receiver_NA_NA_disabled_PU620</v>
      </c>
      <c r="J323" t="s">
        <v>2101</v>
      </c>
      <c r="K323" t="s">
        <v>2195</v>
      </c>
    </row>
    <row r="324" spans="2:11">
      <c r="B324" t="s">
        <v>2286</v>
      </c>
      <c r="C324" t="s">
        <v>1551</v>
      </c>
      <c r="D324" t="s">
        <v>2290</v>
      </c>
      <c r="E324" s="382" t="s">
        <v>117</v>
      </c>
      <c r="F324" s="384" t="s">
        <v>117</v>
      </c>
      <c r="G324" s="384" t="s">
        <v>1101</v>
      </c>
      <c r="H324" t="s">
        <v>2312</v>
      </c>
      <c r="I324" t="str">
        <f t="shared" si="7"/>
        <v>DDR3L_DQS_Receiver_NA_NA_disabled_NONE</v>
      </c>
      <c r="J324" t="s">
        <v>2102</v>
      </c>
      <c r="K324" t="s">
        <v>2196</v>
      </c>
    </row>
    <row r="325" spans="2:11">
      <c r="B325" t="s">
        <v>2286</v>
      </c>
      <c r="C325" t="s">
        <v>1551</v>
      </c>
      <c r="D325" t="s">
        <v>2290</v>
      </c>
      <c r="E325" s="382" t="s">
        <v>117</v>
      </c>
      <c r="F325" s="384" t="s">
        <v>117</v>
      </c>
      <c r="G325" s="381">
        <v>40</v>
      </c>
      <c r="H325" t="s">
        <v>2306</v>
      </c>
      <c r="I325" t="str">
        <f t="shared" si="7"/>
        <v>DDR3L_DQS_Receiver_NA_NA_40_PD415</v>
      </c>
      <c r="J325" t="s">
        <v>2082</v>
      </c>
      <c r="K325" t="s">
        <v>2176</v>
      </c>
    </row>
    <row r="326" spans="2:11">
      <c r="B326" t="s">
        <v>2286</v>
      </c>
      <c r="C326" t="s">
        <v>1551</v>
      </c>
      <c r="D326" t="s">
        <v>2290</v>
      </c>
      <c r="E326" s="382" t="s">
        <v>117</v>
      </c>
      <c r="F326" s="384" t="s">
        <v>117</v>
      </c>
      <c r="G326" s="381">
        <v>40</v>
      </c>
      <c r="H326" t="s">
        <v>2307</v>
      </c>
      <c r="I326" t="str">
        <f t="shared" si="7"/>
        <v>DDR3L_DQS_Receiver_NA_NA_40_PD500</v>
      </c>
      <c r="J326" t="s">
        <v>2083</v>
      </c>
      <c r="K326" t="s">
        <v>2177</v>
      </c>
    </row>
    <row r="327" spans="2:11">
      <c r="B327" t="s">
        <v>2286</v>
      </c>
      <c r="C327" t="s">
        <v>1551</v>
      </c>
      <c r="D327" t="s">
        <v>2290</v>
      </c>
      <c r="E327" s="382" t="s">
        <v>117</v>
      </c>
      <c r="F327" s="384" t="s">
        <v>117</v>
      </c>
      <c r="G327" s="381">
        <v>40</v>
      </c>
      <c r="H327" t="s">
        <v>2308</v>
      </c>
      <c r="I327" t="str">
        <f t="shared" si="7"/>
        <v>DDR3L_DQS_Receiver_NA_NA_40_PD620</v>
      </c>
      <c r="J327" t="s">
        <v>2084</v>
      </c>
      <c r="K327" t="s">
        <v>2178</v>
      </c>
    </row>
    <row r="328" spans="2:11">
      <c r="B328" t="s">
        <v>2286</v>
      </c>
      <c r="C328" t="s">
        <v>1551</v>
      </c>
      <c r="D328" t="s">
        <v>2290</v>
      </c>
      <c r="E328" s="382" t="s">
        <v>117</v>
      </c>
      <c r="F328" s="384" t="s">
        <v>117</v>
      </c>
      <c r="G328" s="381">
        <v>40</v>
      </c>
      <c r="H328" t="s">
        <v>2309</v>
      </c>
      <c r="I328" t="str">
        <f t="shared" si="7"/>
        <v>DDR3L_DQS_Receiver_NA_NA_40_PU415</v>
      </c>
      <c r="J328" t="s">
        <v>2085</v>
      </c>
      <c r="K328" t="s">
        <v>2179</v>
      </c>
    </row>
    <row r="329" spans="2:11">
      <c r="B329" t="s">
        <v>2286</v>
      </c>
      <c r="C329" t="s">
        <v>1551</v>
      </c>
      <c r="D329" t="s">
        <v>2290</v>
      </c>
      <c r="E329" s="382" t="s">
        <v>117</v>
      </c>
      <c r="F329" s="384" t="s">
        <v>117</v>
      </c>
      <c r="G329" s="381">
        <v>40</v>
      </c>
      <c r="H329" t="s">
        <v>2310</v>
      </c>
      <c r="I329" t="str">
        <f t="shared" si="7"/>
        <v>DDR3L_DQS_Receiver_NA_NA_40_PU500</v>
      </c>
      <c r="J329" t="s">
        <v>2086</v>
      </c>
      <c r="K329" t="s">
        <v>2180</v>
      </c>
    </row>
    <row r="330" spans="2:11">
      <c r="B330" t="s">
        <v>2286</v>
      </c>
      <c r="C330" t="s">
        <v>1551</v>
      </c>
      <c r="D330" t="s">
        <v>2290</v>
      </c>
      <c r="E330" s="382" t="s">
        <v>117</v>
      </c>
      <c r="F330" s="384" t="s">
        <v>117</v>
      </c>
      <c r="G330" s="381">
        <v>40</v>
      </c>
      <c r="H330" t="s">
        <v>2311</v>
      </c>
      <c r="I330" t="str">
        <f t="shared" si="7"/>
        <v>DDR3L_DQS_Receiver_NA_NA_40_PU620</v>
      </c>
      <c r="J330" t="s">
        <v>2087</v>
      </c>
      <c r="K330" t="s">
        <v>2181</v>
      </c>
    </row>
    <row r="331" spans="2:11">
      <c r="B331" t="s">
        <v>2286</v>
      </c>
      <c r="C331" t="s">
        <v>1551</v>
      </c>
      <c r="D331" t="s">
        <v>2290</v>
      </c>
      <c r="E331" s="382" t="s">
        <v>117</v>
      </c>
      <c r="F331" s="384" t="s">
        <v>117</v>
      </c>
      <c r="G331" s="381">
        <v>40</v>
      </c>
      <c r="H331" t="s">
        <v>2312</v>
      </c>
      <c r="I331" t="str">
        <f t="shared" si="7"/>
        <v>DDR3L_DQS_Receiver_NA_NA_40_NONE</v>
      </c>
      <c r="J331" t="s">
        <v>2088</v>
      </c>
      <c r="K331" t="s">
        <v>2182</v>
      </c>
    </row>
    <row r="332" spans="2:11">
      <c r="B332" t="s">
        <v>2286</v>
      </c>
      <c r="C332" t="s">
        <v>1551</v>
      </c>
      <c r="D332" t="s">
        <v>2290</v>
      </c>
      <c r="E332" s="382" t="s">
        <v>117</v>
      </c>
      <c r="F332" s="384" t="s">
        <v>117</v>
      </c>
      <c r="G332" s="381">
        <v>60</v>
      </c>
      <c r="H332" t="s">
        <v>2306</v>
      </c>
      <c r="I332" t="str">
        <f t="shared" si="7"/>
        <v>DDR3L_DQS_Receiver_NA_NA_60_PD415</v>
      </c>
      <c r="J332" t="s">
        <v>2089</v>
      </c>
      <c r="K332" t="s">
        <v>2183</v>
      </c>
    </row>
    <row r="333" spans="2:11">
      <c r="B333" t="s">
        <v>2286</v>
      </c>
      <c r="C333" t="s">
        <v>1551</v>
      </c>
      <c r="D333" t="s">
        <v>2290</v>
      </c>
      <c r="E333" s="382" t="s">
        <v>117</v>
      </c>
      <c r="F333" s="384" t="s">
        <v>117</v>
      </c>
      <c r="G333" s="381">
        <v>60</v>
      </c>
      <c r="H333" t="s">
        <v>2307</v>
      </c>
      <c r="I333" t="str">
        <f t="shared" si="7"/>
        <v>DDR3L_DQS_Receiver_NA_NA_60_PD500</v>
      </c>
      <c r="J333" t="s">
        <v>2090</v>
      </c>
      <c r="K333" t="s">
        <v>2184</v>
      </c>
    </row>
    <row r="334" spans="2:11">
      <c r="B334" t="s">
        <v>2286</v>
      </c>
      <c r="C334" t="s">
        <v>1551</v>
      </c>
      <c r="D334" t="s">
        <v>2290</v>
      </c>
      <c r="E334" s="382" t="s">
        <v>117</v>
      </c>
      <c r="F334" s="384" t="s">
        <v>117</v>
      </c>
      <c r="G334" s="381">
        <v>60</v>
      </c>
      <c r="H334" t="s">
        <v>2308</v>
      </c>
      <c r="I334" t="str">
        <f t="shared" si="7"/>
        <v>DDR3L_DQS_Receiver_NA_NA_60_PD620</v>
      </c>
      <c r="J334" t="s">
        <v>2091</v>
      </c>
      <c r="K334" t="s">
        <v>2185</v>
      </c>
    </row>
    <row r="335" spans="2:11">
      <c r="B335" t="s">
        <v>2286</v>
      </c>
      <c r="C335" t="s">
        <v>1551</v>
      </c>
      <c r="D335" t="s">
        <v>2290</v>
      </c>
      <c r="E335" s="382" t="s">
        <v>117</v>
      </c>
      <c r="F335" s="384" t="s">
        <v>117</v>
      </c>
      <c r="G335" s="381">
        <v>60</v>
      </c>
      <c r="H335" t="s">
        <v>2309</v>
      </c>
      <c r="I335" t="str">
        <f t="shared" ref="I335:I345" si="8">CONCATENATE(B335,"_",C335,"_",D335,"_",E335,"_",F335,"_",G335,"_",H335)</f>
        <v>DDR3L_DQS_Receiver_NA_NA_60_PU415</v>
      </c>
      <c r="J335" t="s">
        <v>2092</v>
      </c>
      <c r="K335" t="s">
        <v>2186</v>
      </c>
    </row>
    <row r="336" spans="2:11">
      <c r="B336" t="s">
        <v>2286</v>
      </c>
      <c r="C336" t="s">
        <v>1551</v>
      </c>
      <c r="D336" t="s">
        <v>2290</v>
      </c>
      <c r="E336" s="382" t="s">
        <v>117</v>
      </c>
      <c r="F336" s="384" t="s">
        <v>117</v>
      </c>
      <c r="G336" s="381">
        <v>60</v>
      </c>
      <c r="H336" t="s">
        <v>2310</v>
      </c>
      <c r="I336" t="str">
        <f t="shared" si="8"/>
        <v>DDR3L_DQS_Receiver_NA_NA_60_PU500</v>
      </c>
      <c r="J336" t="s">
        <v>2093</v>
      </c>
      <c r="K336" t="s">
        <v>2187</v>
      </c>
    </row>
    <row r="337" spans="2:11">
      <c r="B337" t="s">
        <v>2286</v>
      </c>
      <c r="C337" t="s">
        <v>1551</v>
      </c>
      <c r="D337" t="s">
        <v>2290</v>
      </c>
      <c r="E337" s="382" t="s">
        <v>117</v>
      </c>
      <c r="F337" s="384" t="s">
        <v>117</v>
      </c>
      <c r="G337" s="381">
        <v>60</v>
      </c>
      <c r="H337" t="s">
        <v>2311</v>
      </c>
      <c r="I337" t="str">
        <f t="shared" si="8"/>
        <v>DDR3L_DQS_Receiver_NA_NA_60_PU620</v>
      </c>
      <c r="J337" t="s">
        <v>2094</v>
      </c>
      <c r="K337" t="s">
        <v>2188</v>
      </c>
    </row>
    <row r="338" spans="2:11">
      <c r="B338" t="s">
        <v>2286</v>
      </c>
      <c r="C338" t="s">
        <v>1551</v>
      </c>
      <c r="D338" t="s">
        <v>2290</v>
      </c>
      <c r="E338" s="382" t="s">
        <v>117</v>
      </c>
      <c r="F338" s="384" t="s">
        <v>117</v>
      </c>
      <c r="G338" s="381">
        <v>60</v>
      </c>
      <c r="H338" t="s">
        <v>2312</v>
      </c>
      <c r="I338" t="str">
        <f t="shared" si="8"/>
        <v>DDR3L_DQS_Receiver_NA_NA_60_NONE</v>
      </c>
      <c r="J338" t="s">
        <v>2095</v>
      </c>
      <c r="K338" t="s">
        <v>2189</v>
      </c>
    </row>
    <row r="339" spans="2:11">
      <c r="B339" t="s">
        <v>2286</v>
      </c>
      <c r="C339" t="s">
        <v>1551</v>
      </c>
      <c r="D339" t="s">
        <v>2290</v>
      </c>
      <c r="E339" s="382" t="s">
        <v>117</v>
      </c>
      <c r="F339" s="384" t="s">
        <v>117</v>
      </c>
      <c r="G339" s="381">
        <v>120</v>
      </c>
      <c r="H339" t="s">
        <v>2306</v>
      </c>
      <c r="I339" t="str">
        <f t="shared" si="8"/>
        <v>DDR3L_DQS_Receiver_NA_NA_120_PD415</v>
      </c>
      <c r="J339" t="s">
        <v>2075</v>
      </c>
      <c r="K339" t="s">
        <v>2169</v>
      </c>
    </row>
    <row r="340" spans="2:11">
      <c r="B340" t="s">
        <v>2286</v>
      </c>
      <c r="C340" t="s">
        <v>1551</v>
      </c>
      <c r="D340" t="s">
        <v>2290</v>
      </c>
      <c r="E340" s="382" t="s">
        <v>117</v>
      </c>
      <c r="F340" s="384" t="s">
        <v>117</v>
      </c>
      <c r="G340" s="381">
        <v>120</v>
      </c>
      <c r="H340" t="s">
        <v>2307</v>
      </c>
      <c r="I340" t="str">
        <f t="shared" si="8"/>
        <v>DDR3L_DQS_Receiver_NA_NA_120_PD500</v>
      </c>
      <c r="J340" t="s">
        <v>2076</v>
      </c>
      <c r="K340" t="s">
        <v>2170</v>
      </c>
    </row>
    <row r="341" spans="2:11">
      <c r="B341" t="s">
        <v>2286</v>
      </c>
      <c r="C341" t="s">
        <v>1551</v>
      </c>
      <c r="D341" t="s">
        <v>2290</v>
      </c>
      <c r="E341" s="382" t="s">
        <v>117</v>
      </c>
      <c r="F341" s="384" t="s">
        <v>117</v>
      </c>
      <c r="G341" s="381">
        <v>120</v>
      </c>
      <c r="H341" t="s">
        <v>2308</v>
      </c>
      <c r="I341" t="str">
        <f t="shared" si="8"/>
        <v>DDR3L_DQS_Receiver_NA_NA_120_PD620</v>
      </c>
      <c r="J341" t="s">
        <v>2077</v>
      </c>
      <c r="K341" t="s">
        <v>2171</v>
      </c>
    </row>
    <row r="342" spans="2:11">
      <c r="B342" t="s">
        <v>2286</v>
      </c>
      <c r="C342" t="s">
        <v>1551</v>
      </c>
      <c r="D342" t="s">
        <v>2290</v>
      </c>
      <c r="E342" s="382" t="s">
        <v>117</v>
      </c>
      <c r="F342" s="384" t="s">
        <v>117</v>
      </c>
      <c r="G342" s="381">
        <v>120</v>
      </c>
      <c r="H342" t="s">
        <v>2309</v>
      </c>
      <c r="I342" t="str">
        <f t="shared" si="8"/>
        <v>DDR3L_DQS_Receiver_NA_NA_120_PU415</v>
      </c>
      <c r="J342" t="s">
        <v>2078</v>
      </c>
      <c r="K342" t="s">
        <v>2172</v>
      </c>
    </row>
    <row r="343" spans="2:11">
      <c r="B343" t="s">
        <v>2286</v>
      </c>
      <c r="C343" t="s">
        <v>1551</v>
      </c>
      <c r="D343" t="s">
        <v>2290</v>
      </c>
      <c r="E343" s="382" t="s">
        <v>117</v>
      </c>
      <c r="F343" s="384" t="s">
        <v>117</v>
      </c>
      <c r="G343" s="381">
        <v>120</v>
      </c>
      <c r="H343" t="s">
        <v>2310</v>
      </c>
      <c r="I343" t="str">
        <f t="shared" si="8"/>
        <v>DDR3L_DQS_Receiver_NA_NA_120_PU500</v>
      </c>
      <c r="J343" t="s">
        <v>2079</v>
      </c>
      <c r="K343" t="s">
        <v>2173</v>
      </c>
    </row>
    <row r="344" spans="2:11">
      <c r="B344" t="s">
        <v>2286</v>
      </c>
      <c r="C344" t="s">
        <v>1551</v>
      </c>
      <c r="D344" t="s">
        <v>2290</v>
      </c>
      <c r="E344" s="382" t="s">
        <v>117</v>
      </c>
      <c r="F344" s="384" t="s">
        <v>117</v>
      </c>
      <c r="G344" s="381">
        <v>120</v>
      </c>
      <c r="H344" t="s">
        <v>2311</v>
      </c>
      <c r="I344" t="str">
        <f t="shared" si="8"/>
        <v>DDR3L_DQS_Receiver_NA_NA_120_PU620</v>
      </c>
      <c r="J344" t="s">
        <v>2080</v>
      </c>
      <c r="K344" t="s">
        <v>2174</v>
      </c>
    </row>
    <row r="345" spans="2:11">
      <c r="B345" t="s">
        <v>2286</v>
      </c>
      <c r="C345" t="s">
        <v>1551</v>
      </c>
      <c r="D345" t="s">
        <v>2290</v>
      </c>
      <c r="E345" s="382" t="s">
        <v>117</v>
      </c>
      <c r="F345" s="384" t="s">
        <v>117</v>
      </c>
      <c r="G345" s="381">
        <v>120</v>
      </c>
      <c r="H345" t="s">
        <v>2312</v>
      </c>
      <c r="I345" t="str">
        <f t="shared" si="8"/>
        <v>DDR3L_DQS_Receiver_NA_NA_120_NONE</v>
      </c>
      <c r="J345" t="s">
        <v>2081</v>
      </c>
      <c r="K345" t="s">
        <v>2175</v>
      </c>
    </row>
  </sheetData>
  <sheetProtection password="8E0D" sheet="1" objects="1" scenarios="1"/>
  <phoneticPr fontId="59" type="noConversion"/>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11</vt:i4>
      </vt:variant>
      <vt:variant>
        <vt:lpstr>命名范围</vt:lpstr>
      </vt:variant>
      <vt:variant>
        <vt:i4>328</vt:i4>
      </vt:variant>
    </vt:vector>
  </HeadingPairs>
  <TitlesOfParts>
    <vt:vector size="339" baseType="lpstr">
      <vt:lpstr>Title-README</vt:lpstr>
      <vt:lpstr>Step1-System Details</vt:lpstr>
      <vt:lpstr>Step2-DDR Timing</vt:lpstr>
      <vt:lpstr>Step3-Address Mapping</vt:lpstr>
      <vt:lpstr>VREF (DDR4)</vt:lpstr>
      <vt:lpstr>VREF (LPDDR4)</vt:lpstr>
      <vt:lpstr>Registers</vt:lpstr>
      <vt:lpstr>GEL</vt:lpstr>
      <vt:lpstr>u-boot</vt:lpstr>
      <vt:lpstr>RTOS</vt:lpstr>
      <vt:lpstr>IBIS</vt:lpstr>
      <vt:lpstr>AL</vt:lpstr>
      <vt:lpstr>AM65x_AC_Slew</vt:lpstr>
      <vt:lpstr>AM65x_DDR3_Driver_Values</vt:lpstr>
      <vt:lpstr>AM65x_DDR3_ODT_Values</vt:lpstr>
      <vt:lpstr>AM65x_DDR4_Driver_Values</vt:lpstr>
      <vt:lpstr>AM65x_DDR4_ODT_values</vt:lpstr>
      <vt:lpstr>AM65x_DQ_Slew</vt:lpstr>
      <vt:lpstr>AM65x_LPDDR4_Driver_Values</vt:lpstr>
      <vt:lpstr>AM65x_LPDDR4_ODT_Values</vt:lpstr>
      <vt:lpstr>AM65x_Ron_AC_DDR4</vt:lpstr>
      <vt:lpstr>AM65x_Ron_AC_LPDDR4</vt:lpstr>
      <vt:lpstr>AM65x_Ron_AC_value</vt:lpstr>
      <vt:lpstr>AM65x_Ron_DQ_DDR4</vt:lpstr>
      <vt:lpstr>AM65x_Ron_DQ_LPDDR4</vt:lpstr>
      <vt:lpstr>AM65x_Ron_DQ_value</vt:lpstr>
      <vt:lpstr>AM65x_Rtt_DDR4</vt:lpstr>
      <vt:lpstr>AM65x_Rtt_LPDDR4</vt:lpstr>
      <vt:lpstr>AM65x_Rtt_value</vt:lpstr>
      <vt:lpstr>b2_10_same</vt:lpstr>
      <vt:lpstr>bank_b0</vt:lpstr>
      <vt:lpstr>bank_b1</vt:lpstr>
      <vt:lpstr>bank_b2</vt:lpstr>
      <vt:lpstr>bg_b0</vt:lpstr>
      <vt:lpstr>bg_b1</vt:lpstr>
      <vt:lpstr>BL</vt:lpstr>
      <vt:lpstr>caparity_disable_before_sr</vt:lpstr>
      <vt:lpstr>CL</vt:lpstr>
      <vt:lpstr>CL_1066</vt:lpstr>
      <vt:lpstr>CL_1333</vt:lpstr>
      <vt:lpstr>CL_1600</vt:lpstr>
      <vt:lpstr>CL_1866</vt:lpstr>
      <vt:lpstr>CL_2133</vt:lpstr>
      <vt:lpstr>CL_800</vt:lpstr>
      <vt:lpstr>col_b10</vt:lpstr>
      <vt:lpstr>col_b11</vt:lpstr>
      <vt:lpstr>col_b2</vt:lpstr>
      <vt:lpstr>col_b3</vt:lpstr>
      <vt:lpstr>col_b4</vt:lpstr>
      <vt:lpstr>col_b5</vt:lpstr>
      <vt:lpstr>col_b6</vt:lpstr>
      <vt:lpstr>col_b7</vt:lpstr>
      <vt:lpstr>col_b8</vt:lpstr>
      <vt:lpstr>col_b9</vt:lpstr>
      <vt:lpstr>Config_AddressMap</vt:lpstr>
      <vt:lpstr>Config_DDRControllerIO</vt:lpstr>
      <vt:lpstr>Config_DDRMemoryIO</vt:lpstr>
      <vt:lpstr>Config_DDRMemorySpecs</vt:lpstr>
      <vt:lpstr>Config_DDRTiming</vt:lpstr>
      <vt:lpstr>Config_SystemAppDetails</vt:lpstr>
      <vt:lpstr>cs_bit0</vt:lpstr>
      <vt:lpstr>cs_bit1</vt:lpstr>
      <vt:lpstr>CWL</vt:lpstr>
      <vt:lpstr>Data_Rate</vt:lpstr>
      <vt:lpstr>DDR_Density</vt:lpstr>
      <vt:lpstr>DDR_device_width</vt:lpstr>
      <vt:lpstr>DDR_DynRtt_value</vt:lpstr>
      <vt:lpstr>DDR_Memory_Frequency</vt:lpstr>
      <vt:lpstr>DDR_ODI_value</vt:lpstr>
      <vt:lpstr>DDR_ODT_value</vt:lpstr>
      <vt:lpstr>DDR_Rank</vt:lpstr>
      <vt:lpstr>DDR_Type</vt:lpstr>
      <vt:lpstr>DDR_Width</vt:lpstr>
      <vt:lpstr>DDR3_1600_CL</vt:lpstr>
      <vt:lpstr>DDR3_1866_CL</vt:lpstr>
      <vt:lpstr>DDR3_2133_CL</vt:lpstr>
      <vt:lpstr>DDR3_Addr</vt:lpstr>
      <vt:lpstr>DDR3_CL</vt:lpstr>
      <vt:lpstr>DDR3_CL_Max</vt:lpstr>
      <vt:lpstr>DDR3_CL_Min</vt:lpstr>
      <vt:lpstr>DDR3_CS</vt:lpstr>
      <vt:lpstr>DDR3_CWL</vt:lpstr>
      <vt:lpstr>DDR3_Data</vt:lpstr>
      <vt:lpstr>DDR3_DQS</vt:lpstr>
      <vt:lpstr>DDR3_Driver_Values</vt:lpstr>
      <vt:lpstr>DDR3_DYN_ODT</vt:lpstr>
      <vt:lpstr>DDR3_freq</vt:lpstr>
      <vt:lpstr>DDR3_HIF10</vt:lpstr>
      <vt:lpstr>DDR3_HIF11</vt:lpstr>
      <vt:lpstr>DDR3_HIF12</vt:lpstr>
      <vt:lpstr>DDR3_HIF13</vt:lpstr>
      <vt:lpstr>DDR3_HIF14</vt:lpstr>
      <vt:lpstr>DDR3_HIF15</vt:lpstr>
      <vt:lpstr>DDR3_HIF16</vt:lpstr>
      <vt:lpstr>DDR3_HIF17</vt:lpstr>
      <vt:lpstr>DDR3_HIF18</vt:lpstr>
      <vt:lpstr>DDR3_HIF19</vt:lpstr>
      <vt:lpstr>DDR3_HIF2</vt:lpstr>
      <vt:lpstr>DDR3_HIF20</vt:lpstr>
      <vt:lpstr>DDR3_HIF21</vt:lpstr>
      <vt:lpstr>DDR3_HIF22</vt:lpstr>
      <vt:lpstr>DDR3_HIF23</vt:lpstr>
      <vt:lpstr>DDR3_HIF24</vt:lpstr>
      <vt:lpstr>DDR3_HIF25</vt:lpstr>
      <vt:lpstr>DDR3_HIF26</vt:lpstr>
      <vt:lpstr>DDR3_HIF27</vt:lpstr>
      <vt:lpstr>DDR3_HIF28</vt:lpstr>
      <vt:lpstr>DDR3_HIF29</vt:lpstr>
      <vt:lpstr>DDR3_HIF3</vt:lpstr>
      <vt:lpstr>DDR3_HIF30</vt:lpstr>
      <vt:lpstr>DDR3_HIF31</vt:lpstr>
      <vt:lpstr>DDR3_HIF4</vt:lpstr>
      <vt:lpstr>DDR3_HIF5</vt:lpstr>
      <vt:lpstr>DDR3_HIF6</vt:lpstr>
      <vt:lpstr>DDR3_HIF7</vt:lpstr>
      <vt:lpstr>DDR3_HIF8</vt:lpstr>
      <vt:lpstr>DDR3_HIF9</vt:lpstr>
      <vt:lpstr>DDR3_Max</vt:lpstr>
      <vt:lpstr>DDR3_Min</vt:lpstr>
      <vt:lpstr>DDR3_NVM_RDB</vt:lpstr>
      <vt:lpstr>DDR3_NVM_RDB_Size</vt:lpstr>
      <vt:lpstr>DDR3_ODT_Values</vt:lpstr>
      <vt:lpstr>DDR3_Refresh</vt:lpstr>
      <vt:lpstr>DDR3_Width</vt:lpstr>
      <vt:lpstr>DDR3_ZQ_Tsens_Max</vt:lpstr>
      <vt:lpstr>DDR3_ZQ_Tsens_Min</vt:lpstr>
      <vt:lpstr>DDR3_ZQ_Vsens_Max</vt:lpstr>
      <vt:lpstr>DDR3_ZQ_Vsens_Min</vt:lpstr>
      <vt:lpstr>DDR4_1600</vt:lpstr>
      <vt:lpstr>DDR4_CWL</vt:lpstr>
      <vt:lpstr>DDR4_Driver_Values</vt:lpstr>
      <vt:lpstr>DDR4_freq</vt:lpstr>
      <vt:lpstr>DDR4_HIF10</vt:lpstr>
      <vt:lpstr>DDR4_HIF11</vt:lpstr>
      <vt:lpstr>DDR4_HIF12</vt:lpstr>
      <vt:lpstr>DDR4_HIF13</vt:lpstr>
      <vt:lpstr>DDR4_HIF14</vt:lpstr>
      <vt:lpstr>DDR4_HIF15</vt:lpstr>
      <vt:lpstr>DDR4_HIF16</vt:lpstr>
      <vt:lpstr>DDR4_HIF17</vt:lpstr>
      <vt:lpstr>DDR4_HIF18</vt:lpstr>
      <vt:lpstr>DDR4_HIF19</vt:lpstr>
      <vt:lpstr>DDR4_HIF2</vt:lpstr>
      <vt:lpstr>DDR4_HIF20</vt:lpstr>
      <vt:lpstr>DDR4_HIF21</vt:lpstr>
      <vt:lpstr>DDR4_HIF22</vt:lpstr>
      <vt:lpstr>DDR4_HIF23</vt:lpstr>
      <vt:lpstr>DDR4_HIF24</vt:lpstr>
      <vt:lpstr>DDR4_HIF25</vt:lpstr>
      <vt:lpstr>DDR4_HIF26</vt:lpstr>
      <vt:lpstr>DDR4_HIF27</vt:lpstr>
      <vt:lpstr>DDR4_HIF28</vt:lpstr>
      <vt:lpstr>DDR4_HIF29</vt:lpstr>
      <vt:lpstr>DDR4_HIF3</vt:lpstr>
      <vt:lpstr>DDR4_HIF30</vt:lpstr>
      <vt:lpstr>DDR4_HIF31</vt:lpstr>
      <vt:lpstr>DDR4_HIF4</vt:lpstr>
      <vt:lpstr>DDR4_HIF5</vt:lpstr>
      <vt:lpstr>DDR4_HIF6</vt:lpstr>
      <vt:lpstr>DDR4_HIF7</vt:lpstr>
      <vt:lpstr>DDR4_HIF8</vt:lpstr>
      <vt:lpstr>DDR4_HIF9</vt:lpstr>
      <vt:lpstr>DDR4_Max</vt:lpstr>
      <vt:lpstr>DDR4_Min</vt:lpstr>
      <vt:lpstr>DDR4_ODT_Values</vt:lpstr>
      <vt:lpstr>DDR4_Width</vt:lpstr>
      <vt:lpstr>DLLK</vt:lpstr>
      <vt:lpstr>'VREF (LPDDR4)'!DRAM_Ron_register</vt:lpstr>
      <vt:lpstr>DRAM_Ron_register</vt:lpstr>
      <vt:lpstr>DRAM_Ron_value</vt:lpstr>
      <vt:lpstr>'VREF (LPDDR4)'!DRAM_Rtt_register</vt:lpstr>
      <vt:lpstr>DRAM_Rtt_register</vt:lpstr>
      <vt:lpstr>DRAM_Rtt_value</vt:lpstr>
      <vt:lpstr>ECC_Enable</vt:lpstr>
      <vt:lpstr>ENABLE_ECC</vt:lpstr>
      <vt:lpstr>GCRx_DXREFSSEL_DDR4</vt:lpstr>
      <vt:lpstr>GCRx_DXREFSSEL_LPDDR4</vt:lpstr>
      <vt:lpstr>GCRx_DXREFSSELRANGE_DDR4</vt:lpstr>
      <vt:lpstr>GCRx_DXREFSSELRANGE_LPDDR4</vt:lpstr>
      <vt:lpstr>HALF_BUS_WIDTH</vt:lpstr>
      <vt:lpstr>Load_AddressMapping</vt:lpstr>
      <vt:lpstr>Load_DDRTiming</vt:lpstr>
      <vt:lpstr>LPDDR4_Driver_Values</vt:lpstr>
      <vt:lpstr>LPDDR4_freq</vt:lpstr>
      <vt:lpstr>LPDDR4_HIF10</vt:lpstr>
      <vt:lpstr>LPDDR4_HIF11</vt:lpstr>
      <vt:lpstr>LPDDR4_HIF12</vt:lpstr>
      <vt:lpstr>LPDDR4_HIF13</vt:lpstr>
      <vt:lpstr>LPDDR4_HIF14</vt:lpstr>
      <vt:lpstr>LPDDR4_HIF15</vt:lpstr>
      <vt:lpstr>LPDDR4_HIF16</vt:lpstr>
      <vt:lpstr>LPDDR4_HIF17</vt:lpstr>
      <vt:lpstr>LPDDR4_HIF18</vt:lpstr>
      <vt:lpstr>LPDDR4_HIF19</vt:lpstr>
      <vt:lpstr>LPDDR4_HIF2</vt:lpstr>
      <vt:lpstr>LPDDR4_HIF20</vt:lpstr>
      <vt:lpstr>LPDDR4_HIF21</vt:lpstr>
      <vt:lpstr>LPDDR4_HIF22</vt:lpstr>
      <vt:lpstr>LPDDR4_HIF23</vt:lpstr>
      <vt:lpstr>LPDDR4_HIF24</vt:lpstr>
      <vt:lpstr>LPDDR4_HIF25</vt:lpstr>
      <vt:lpstr>LPDDR4_HIF26</vt:lpstr>
      <vt:lpstr>LPDDR4_HIF27</vt:lpstr>
      <vt:lpstr>LPDDR4_HIF28</vt:lpstr>
      <vt:lpstr>LPDDR4_HIF29</vt:lpstr>
      <vt:lpstr>LPDDR4_HIF3</vt:lpstr>
      <vt:lpstr>LPDDR4_HIF30</vt:lpstr>
      <vt:lpstr>LPDDR4_HIF31</vt:lpstr>
      <vt:lpstr>LPDDR4_HIF4</vt:lpstr>
      <vt:lpstr>LPDDR4_HIF5</vt:lpstr>
      <vt:lpstr>LPDDR4_HIF6</vt:lpstr>
      <vt:lpstr>LPDDR4_HIF7</vt:lpstr>
      <vt:lpstr>LPDDR4_HIF8</vt:lpstr>
      <vt:lpstr>LPDDR4_HIF9</vt:lpstr>
      <vt:lpstr>LPDDR4_ODT_Values</vt:lpstr>
      <vt:lpstr>LPDDR4_Width</vt:lpstr>
      <vt:lpstr>macroSwitch_end_GEL</vt:lpstr>
      <vt:lpstr>macroSwitch_end_SystemDetails</vt:lpstr>
      <vt:lpstr>RTOS!macroSwitch_end_uboot</vt:lpstr>
      <vt:lpstr>macroSwitch_end_uboot</vt:lpstr>
      <vt:lpstr>macroSwitch_OutputTextBelow_GEL</vt:lpstr>
      <vt:lpstr>RTOS!macroSwitch_OutputTextBelow_uboot</vt:lpstr>
      <vt:lpstr>macroSwitch_OutputTextBelow_uboot</vt:lpstr>
      <vt:lpstr>macroSwitch_start_SystemDetails</vt:lpstr>
      <vt:lpstr>Memory_Type</vt:lpstr>
      <vt:lpstr>MR14_5_0</vt:lpstr>
      <vt:lpstr>MR14_6</vt:lpstr>
      <vt:lpstr>'VREF (LPDDR4)'!MR6_5_0</vt:lpstr>
      <vt:lpstr>MR6_5_0</vt:lpstr>
      <vt:lpstr>'VREF (LPDDR4)'!MR6_6</vt:lpstr>
      <vt:lpstr>MR6_6</vt:lpstr>
      <vt:lpstr>NA</vt:lpstr>
      <vt:lpstr>Number_of_Columns</vt:lpstr>
      <vt:lpstr>Number_of_Rows</vt:lpstr>
      <vt:lpstr>ODTLon</vt:lpstr>
      <vt:lpstr>PL</vt:lpstr>
      <vt:lpstr>Refresh_Mode</vt:lpstr>
      <vt:lpstr>RFSHDT</vt:lpstr>
      <vt:lpstr>RL</vt:lpstr>
      <vt:lpstr>row_b0</vt:lpstr>
      <vt:lpstr>row_b1</vt:lpstr>
      <vt:lpstr>row_b10</vt:lpstr>
      <vt:lpstr>row_b11</vt:lpstr>
      <vt:lpstr>row_b12</vt:lpstr>
      <vt:lpstr>row_b13</vt:lpstr>
      <vt:lpstr>row_b14</vt:lpstr>
      <vt:lpstr>row_b15</vt:lpstr>
      <vt:lpstr>row_b16</vt:lpstr>
      <vt:lpstr>row_b17</vt:lpstr>
      <vt:lpstr>row_b2</vt:lpstr>
      <vt:lpstr>row_b3</vt:lpstr>
      <vt:lpstr>row_b4</vt:lpstr>
      <vt:lpstr>row_b5</vt:lpstr>
      <vt:lpstr>row_b6</vt:lpstr>
      <vt:lpstr>row_b7</vt:lpstr>
      <vt:lpstr>row_b8</vt:lpstr>
      <vt:lpstr>row_b9</vt:lpstr>
      <vt:lpstr>RTOS!RTOS_output</vt:lpstr>
      <vt:lpstr>tAOND_tODTon</vt:lpstr>
      <vt:lpstr>tCAL</vt:lpstr>
      <vt:lpstr>tCCD_L</vt:lpstr>
      <vt:lpstr>tCCD_S</vt:lpstr>
      <vt:lpstr>tCCDMW</vt:lpstr>
      <vt:lpstr>tCK</vt:lpstr>
      <vt:lpstr>tCKCKEH</vt:lpstr>
      <vt:lpstr>tCKE</vt:lpstr>
      <vt:lpstr>tCKELCK</vt:lpstr>
      <vt:lpstr>tCKELPD</vt:lpstr>
      <vt:lpstr>tCKESR</vt:lpstr>
      <vt:lpstr>tCKMPE</vt:lpstr>
      <vt:lpstr>tCKSRE</vt:lpstr>
      <vt:lpstr>tCKSRX</vt:lpstr>
      <vt:lpstr>tCMDCKE</vt:lpstr>
      <vt:lpstr>tCPDED</vt:lpstr>
      <vt:lpstr>tCRC_ALERT_PW</vt:lpstr>
      <vt:lpstr>tDLLK</vt:lpstr>
      <vt:lpstr>tDQSCKmax</vt:lpstr>
      <vt:lpstr>tDQSCKmin</vt:lpstr>
      <vt:lpstr>Tdrift_rate</vt:lpstr>
      <vt:lpstr>tESCKE</vt:lpstr>
      <vt:lpstr>tFAW</vt:lpstr>
      <vt:lpstr>tMOD</vt:lpstr>
      <vt:lpstr>tMPX_LH</vt:lpstr>
      <vt:lpstr>tMPX_S</vt:lpstr>
      <vt:lpstr>tMRD</vt:lpstr>
      <vt:lpstr>tMRD_PDA</vt:lpstr>
      <vt:lpstr>tMRW</vt:lpstr>
      <vt:lpstr>tMRWCKEL</vt:lpstr>
      <vt:lpstr>tODTLoff</vt:lpstr>
      <vt:lpstr>tODTon_min</vt:lpstr>
      <vt:lpstr>tODTUP</vt:lpstr>
      <vt:lpstr>Total_number_of_banks</vt:lpstr>
      <vt:lpstr>tPAR_ALERT_PW</vt:lpstr>
      <vt:lpstr>tPPD</vt:lpstr>
      <vt:lpstr>tPW_RESET_L</vt:lpstr>
      <vt:lpstr>tRAS</vt:lpstr>
      <vt:lpstr>tRASmax</vt:lpstr>
      <vt:lpstr>tRC</vt:lpstr>
      <vt:lpstr>tRCD</vt:lpstr>
      <vt:lpstr>TREFI</vt:lpstr>
      <vt:lpstr>tRFC</vt:lpstr>
      <vt:lpstr>tRFC4</vt:lpstr>
      <vt:lpstr>tRP</vt:lpstr>
      <vt:lpstr>tRPRE</vt:lpstr>
      <vt:lpstr>tRPST</vt:lpstr>
      <vt:lpstr>tRRD_L</vt:lpstr>
      <vt:lpstr>tRRD_S</vt:lpstr>
      <vt:lpstr>tRTP</vt:lpstr>
      <vt:lpstr>Tsense</vt:lpstr>
      <vt:lpstr>tSR</vt:lpstr>
      <vt:lpstr>tVRCG_DISABLE</vt:lpstr>
      <vt:lpstr>tVRCG_ENABLE</vt:lpstr>
      <vt:lpstr>tWLMRD</vt:lpstr>
      <vt:lpstr>tWLO</vt:lpstr>
      <vt:lpstr>tWLWPRE</vt:lpstr>
      <vt:lpstr>tWPRE</vt:lpstr>
      <vt:lpstr>tWR</vt:lpstr>
      <vt:lpstr>tWTR_L</vt:lpstr>
      <vt:lpstr>tWTR_S</vt:lpstr>
      <vt:lpstr>tXMP</vt:lpstr>
      <vt:lpstr>tXMPDLL</vt:lpstr>
      <vt:lpstr>tXP</vt:lpstr>
      <vt:lpstr>tXPDLL</vt:lpstr>
      <vt:lpstr>tXPR</vt:lpstr>
      <vt:lpstr>tXS</vt:lpstr>
      <vt:lpstr>tXS_ABORT</vt:lpstr>
      <vt:lpstr>tXS_FAST</vt:lpstr>
      <vt:lpstr>tXSDLL</vt:lpstr>
      <vt:lpstr>tXSR</vt:lpstr>
      <vt:lpstr>tZQCAL</vt:lpstr>
      <vt:lpstr>tZQCS</vt:lpstr>
      <vt:lpstr>tZQINIT</vt:lpstr>
      <vt:lpstr>tZQLAT</vt:lpstr>
      <vt:lpstr>tZQoper</vt:lpstr>
      <vt:lpstr>tZQReset</vt:lpstr>
      <vt:lpstr>uboot_dtsi_output</vt:lpstr>
      <vt:lpstr>Vdrift_rate</vt:lpstr>
      <vt:lpstr>Vsense</vt:lpstr>
      <vt:lpstr>WL</vt:lpstr>
    </vt:vector>
  </TitlesOfParts>
  <Company>Texas Instruments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Doublesin, James</dc:creator>
  <cp:lastModifiedBy>Lin, Yong King</cp:lastModifiedBy>
  <cp:lastPrinted>2009-09-15T15:48:00Z</cp:lastPrinted>
  <dcterms:created xsi:type="dcterms:W3CDTF">2009-01-21T14:50:02Z</dcterms:created>
  <dcterms:modified xsi:type="dcterms:W3CDTF">2021-09-13T02:54:00Z</dcterms:modified>
</cp:coreProperties>
</file>