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750" yWindow="-240" windowWidth="18315" windowHeight="10200" activeTab="2"/>
  </bookViews>
  <sheets>
    <sheet name="Introduction" sheetId="4" r:id="rId1"/>
    <sheet name="Instructions" sheetId="5" r:id="rId2"/>
    <sheet name="QR Design Tool" sheetId="2" r:id="rId3"/>
    <sheet name="QR Simulator" sheetId="3" r:id="rId4"/>
    <sheet name="Magnetic Specification" sheetId="6" r:id="rId5"/>
  </sheets>
  <definedNames>
    <definedName name="_xlnm.Print_Area" localSheetId="4">'Magnetic Specification'!$A$1:$F$57</definedName>
    <definedName name="Z_DD33061B_782C_4C0C_B878_DD0814D9D48F_.wvu.Rows" localSheetId="2" hidden="1">'QR Design Tool'!$119:$149</definedName>
    <definedName name="Z_DD33061B_782C_4C0C_B878_DD0814D9D48F_.wvu.Rows" localSheetId="3" hidden="1">'QR Simulator'!$120:$133,'QR Simulator'!$163:$176</definedName>
  </definedNames>
  <calcPr calcId="114210" fullCalcOnLoad="1"/>
  <customWorkbookViews>
    <customWorkbookView name="TI User - Personal View" guid="{DD33061B-782C-4C0C-B878-DD0814D9D48F}" mergeInterval="0" personalView="1" maximized="1" windowWidth="1020" windowHeight="606" activeSheetId="5" showComments="commIndAndComment"/>
  </customWorkbookViews>
</workbook>
</file>

<file path=xl/calcChain.xml><?xml version="1.0" encoding="utf-8"?>
<calcChain xmlns="http://schemas.openxmlformats.org/spreadsheetml/2006/main">
  <c r="C13" i="2"/>
  <c r="F14"/>
  <c r="F15"/>
  <c r="F16"/>
  <c r="C32"/>
  <c r="C71"/>
  <c r="C74"/>
  <c r="C34"/>
  <c r="C77"/>
  <c r="C78"/>
  <c r="C81"/>
  <c r="C82"/>
  <c r="B23" i="6"/>
  <c r="B20"/>
  <c r="B7"/>
  <c r="B6"/>
  <c r="F11" i="2"/>
  <c r="C140"/>
  <c r="C148"/>
  <c r="D189"/>
  <c r="D191"/>
  <c r="B13" i="3"/>
  <c r="E14"/>
  <c r="B17"/>
  <c r="B37"/>
  <c r="B32"/>
  <c r="B33"/>
  <c r="B12"/>
  <c r="E12"/>
  <c r="B14"/>
  <c r="E13"/>
  <c r="C91"/>
  <c r="B8"/>
  <c r="C181"/>
  <c r="B10"/>
  <c r="C189"/>
  <c r="B11"/>
  <c r="B13" i="6"/>
  <c r="B19" i="3"/>
  <c r="B15"/>
  <c r="F39" i="2"/>
  <c r="B79" i="3"/>
  <c r="B78"/>
  <c r="B76"/>
  <c r="B67"/>
  <c r="B68"/>
  <c r="C89" i="2"/>
  <c r="C53"/>
  <c r="B28" i="3"/>
  <c r="E41"/>
  <c r="B43"/>
  <c r="B28" i="6"/>
  <c r="D91" i="3"/>
  <c r="B29"/>
  <c r="B30"/>
  <c r="B31"/>
  <c r="B9"/>
  <c r="E9"/>
  <c r="B16"/>
  <c r="B18"/>
  <c r="B20"/>
  <c r="B21"/>
  <c r="B22"/>
  <c r="B23"/>
  <c r="B24"/>
  <c r="C54" i="2"/>
  <c r="C62"/>
  <c r="C64"/>
  <c r="C65"/>
  <c r="F18"/>
  <c r="C80"/>
  <c r="B207" i="3"/>
  <c r="B208"/>
  <c r="B209"/>
  <c r="B210"/>
  <c r="B211"/>
  <c r="B212"/>
  <c r="B213"/>
  <c r="B214"/>
  <c r="B215"/>
  <c r="B216"/>
  <c r="B217"/>
  <c r="B218"/>
  <c r="B219"/>
  <c r="B220"/>
  <c r="B221"/>
  <c r="B222"/>
  <c r="B223"/>
  <c r="B224"/>
  <c r="B225"/>
  <c r="B226"/>
  <c r="B206"/>
  <c r="C147" i="2"/>
  <c r="D164"/>
  <c r="D170"/>
  <c r="D173"/>
  <c r="D169"/>
  <c r="D161"/>
  <c r="D160"/>
  <c r="E16" i="3"/>
  <c r="C150"/>
  <c r="C200"/>
  <c r="D200"/>
  <c r="C144"/>
  <c r="D144"/>
  <c r="D150"/>
  <c r="D181"/>
  <c r="D189"/>
  <c r="F17" i="2"/>
  <c r="C118"/>
  <c r="D118"/>
  <c r="C140" i="3"/>
  <c r="D140"/>
  <c r="C154"/>
  <c r="D154"/>
  <c r="C63" i="2"/>
  <c r="C88" i="3"/>
  <c r="D88"/>
  <c r="C147"/>
  <c r="D147"/>
  <c r="C197"/>
  <c r="D197"/>
  <c r="C139"/>
  <c r="D139"/>
  <c r="C143"/>
  <c r="D143"/>
  <c r="C146"/>
  <c r="D146"/>
  <c r="C149"/>
  <c r="D149"/>
  <c r="C153"/>
  <c r="D153"/>
  <c r="C157"/>
  <c r="D157"/>
  <c r="C198"/>
  <c r="D198"/>
  <c r="C192"/>
  <c r="D192"/>
  <c r="C138"/>
  <c r="D138"/>
  <c r="C142"/>
  <c r="D142"/>
  <c r="C145"/>
  <c r="D145"/>
  <c r="C148"/>
  <c r="D148"/>
  <c r="C152"/>
  <c r="D152"/>
  <c r="C156"/>
  <c r="D156"/>
  <c r="C194"/>
  <c r="D194"/>
  <c r="C185"/>
  <c r="D185"/>
  <c r="C137"/>
  <c r="D137"/>
  <c r="C141"/>
  <c r="D141"/>
  <c r="C151"/>
  <c r="D151"/>
  <c r="C155"/>
  <c r="D155"/>
  <c r="C199"/>
  <c r="D199"/>
  <c r="C195"/>
  <c r="D195"/>
  <c r="C187"/>
  <c r="D187"/>
  <c r="C191"/>
  <c r="D191"/>
  <c r="C188"/>
  <c r="D188"/>
  <c r="C184"/>
  <c r="D184"/>
  <c r="C180"/>
  <c r="D180"/>
  <c r="B48"/>
  <c r="M88"/>
  <c r="S88"/>
  <c r="C196"/>
  <c r="D196"/>
  <c r="C193"/>
  <c r="D193"/>
  <c r="C190"/>
  <c r="D190"/>
  <c r="C186"/>
  <c r="D186"/>
  <c r="C182"/>
  <c r="D182"/>
  <c r="C149" i="2"/>
  <c r="D188"/>
  <c r="C111" i="3"/>
  <c r="D111"/>
  <c r="E15"/>
  <c r="D56"/>
  <c r="E48"/>
  <c r="C89"/>
  <c r="AH88"/>
  <c r="AH94"/>
  <c r="AH98"/>
  <c r="AH102"/>
  <c r="AH106"/>
  <c r="AH110"/>
  <c r="AH93"/>
  <c r="AH97"/>
  <c r="AH101"/>
  <c r="AH105"/>
  <c r="AH109"/>
  <c r="AH108"/>
  <c r="AH92"/>
  <c r="AH96"/>
  <c r="AH100"/>
  <c r="AH104"/>
  <c r="AH89"/>
  <c r="AH95"/>
  <c r="AH99"/>
  <c r="AH103"/>
  <c r="AH107"/>
  <c r="AH111"/>
  <c r="AH91"/>
  <c r="C183"/>
  <c r="D183"/>
  <c r="B12" i="6"/>
  <c r="D193" i="2"/>
  <c r="C98"/>
  <c r="B44" i="3"/>
  <c r="B77"/>
  <c r="AF111"/>
  <c r="J226"/>
  <c r="K226"/>
  <c r="L226"/>
  <c r="M91"/>
  <c r="C92"/>
  <c r="AF91"/>
  <c r="C206"/>
  <c r="C113"/>
  <c r="E29"/>
  <c r="C114"/>
  <c r="U91"/>
  <c r="V91"/>
  <c r="M111"/>
  <c r="U88"/>
  <c r="U89"/>
  <c r="N88"/>
  <c r="W88"/>
  <c r="M92"/>
  <c r="N92"/>
  <c r="R92"/>
  <c r="C226"/>
  <c r="M226"/>
  <c r="U111"/>
  <c r="R88"/>
  <c r="T88"/>
  <c r="M89"/>
  <c r="D89"/>
  <c r="P181"/>
  <c r="P185"/>
  <c r="P189"/>
  <c r="P193"/>
  <c r="P197"/>
  <c r="P157"/>
  <c r="P153"/>
  <c r="P180"/>
  <c r="P184"/>
  <c r="P188"/>
  <c r="P192"/>
  <c r="P196"/>
  <c r="P200"/>
  <c r="P154"/>
  <c r="P183"/>
  <c r="P187"/>
  <c r="P191"/>
  <c r="P195"/>
  <c r="P199"/>
  <c r="P155"/>
  <c r="P151"/>
  <c r="O226"/>
  <c r="P182"/>
  <c r="P186"/>
  <c r="P190"/>
  <c r="P194"/>
  <c r="P198"/>
  <c r="P156"/>
  <c r="P152"/>
  <c r="P147"/>
  <c r="P143"/>
  <c r="P139"/>
  <c r="AA111"/>
  <c r="AA91"/>
  <c r="P148"/>
  <c r="P144"/>
  <c r="P140"/>
  <c r="P150"/>
  <c r="P145"/>
  <c r="P141"/>
  <c r="P137"/>
  <c r="P149"/>
  <c r="P146"/>
  <c r="P142"/>
  <c r="P138"/>
  <c r="Z111"/>
  <c r="Z110"/>
  <c r="Z109"/>
  <c r="Z108"/>
  <c r="Z107"/>
  <c r="Z106"/>
  <c r="Z105"/>
  <c r="Z104"/>
  <c r="Z103"/>
  <c r="Z102"/>
  <c r="Z101"/>
  <c r="Z100"/>
  <c r="Z99"/>
  <c r="Z98"/>
  <c r="Z97"/>
  <c r="Z96"/>
  <c r="Z95"/>
  <c r="Z94"/>
  <c r="Z93"/>
  <c r="Z92"/>
  <c r="Z91"/>
  <c r="Z88"/>
  <c r="AA88"/>
  <c r="Z89"/>
  <c r="Z113"/>
  <c r="AA89"/>
  <c r="Z114"/>
  <c r="AF113"/>
  <c r="C119"/>
  <c r="D113"/>
  <c r="M113"/>
  <c r="U113"/>
  <c r="V113"/>
  <c r="AA113"/>
  <c r="U98" i="2"/>
  <c r="C99"/>
  <c r="D98"/>
  <c r="C93" i="3"/>
  <c r="AF92"/>
  <c r="C207"/>
  <c r="AA92"/>
  <c r="U92"/>
  <c r="V92"/>
  <c r="D92"/>
  <c r="N91"/>
  <c r="R91"/>
  <c r="H206"/>
  <c r="S91"/>
  <c r="AF114"/>
  <c r="C162"/>
  <c r="AA114"/>
  <c r="D114"/>
  <c r="M114"/>
  <c r="U114"/>
  <c r="V114"/>
  <c r="D57"/>
  <c r="AF89"/>
  <c r="V89"/>
  <c r="V88"/>
  <c r="T111"/>
  <c r="Q226"/>
  <c r="N111"/>
  <c r="R111"/>
  <c r="P226"/>
  <c r="H226"/>
  <c r="S111"/>
  <c r="E98" i="2"/>
  <c r="C84"/>
  <c r="E99"/>
  <c r="E118"/>
  <c r="C72"/>
  <c r="C73"/>
  <c r="C75"/>
  <c r="C76"/>
  <c r="U118"/>
  <c r="C79"/>
  <c r="J206" i="3"/>
  <c r="K206"/>
  <c r="L206"/>
  <c r="M206"/>
  <c r="V111"/>
  <c r="S92"/>
  <c r="P88"/>
  <c r="Q88"/>
  <c r="H207"/>
  <c r="AC88"/>
  <c r="O88"/>
  <c r="P92"/>
  <c r="Q92"/>
  <c r="AC92"/>
  <c r="P206"/>
  <c r="T91"/>
  <c r="Q206"/>
  <c r="P207"/>
  <c r="T92"/>
  <c r="Q207"/>
  <c r="N89"/>
  <c r="S89"/>
  <c r="R89"/>
  <c r="T89"/>
  <c r="W92"/>
  <c r="F118" i="2"/>
  <c r="C83"/>
  <c r="C86"/>
  <c r="R118"/>
  <c r="T118"/>
  <c r="S118"/>
  <c r="J207" i="3"/>
  <c r="K207"/>
  <c r="L207"/>
  <c r="Q156"/>
  <c r="Q152"/>
  <c r="Q157"/>
  <c r="Q153"/>
  <c r="Q154"/>
  <c r="Q150"/>
  <c r="Q155"/>
  <c r="Q151"/>
  <c r="K150"/>
  <c r="L150"/>
  <c r="Q149"/>
  <c r="Q146"/>
  <c r="Q142"/>
  <c r="Q138"/>
  <c r="Q147"/>
  <c r="Q143"/>
  <c r="Q139"/>
  <c r="Q148"/>
  <c r="K145"/>
  <c r="L145"/>
  <c r="Q144"/>
  <c r="K141"/>
  <c r="L141"/>
  <c r="Q140"/>
  <c r="K137"/>
  <c r="L137"/>
  <c r="Q145"/>
  <c r="Q141"/>
  <c r="Q137"/>
  <c r="F119"/>
  <c r="K147"/>
  <c r="L147"/>
  <c r="K144"/>
  <c r="L144"/>
  <c r="K153"/>
  <c r="L153"/>
  <c r="C122"/>
  <c r="K155"/>
  <c r="L155"/>
  <c r="K139"/>
  <c r="L139"/>
  <c r="K154"/>
  <c r="L154"/>
  <c r="K152"/>
  <c r="L152"/>
  <c r="K138"/>
  <c r="L138"/>
  <c r="K148"/>
  <c r="L148"/>
  <c r="K140"/>
  <c r="L140"/>
  <c r="K143"/>
  <c r="L143"/>
  <c r="K146"/>
  <c r="L146"/>
  <c r="K149"/>
  <c r="L149"/>
  <c r="K156"/>
  <c r="L156"/>
  <c r="K142"/>
  <c r="L142"/>
  <c r="K151"/>
  <c r="L151"/>
  <c r="K157"/>
  <c r="L157"/>
  <c r="X88"/>
  <c r="Y88"/>
  <c r="AF88"/>
  <c r="I226"/>
  <c r="N226"/>
  <c r="W111"/>
  <c r="AC111"/>
  <c r="O111"/>
  <c r="I206"/>
  <c r="N206"/>
  <c r="W91"/>
  <c r="AC91"/>
  <c r="O91"/>
  <c r="C100" i="2"/>
  <c r="U99"/>
  <c r="D99"/>
  <c r="C85"/>
  <c r="E47" i="3"/>
  <c r="B29" i="6"/>
  <c r="D154" i="2"/>
  <c r="D174"/>
  <c r="F98"/>
  <c r="R98"/>
  <c r="T98"/>
  <c r="S98"/>
  <c r="S114" i="3"/>
  <c r="N114"/>
  <c r="T114"/>
  <c r="R114"/>
  <c r="C173"/>
  <c r="N113"/>
  <c r="R113"/>
  <c r="T113"/>
  <c r="S113"/>
  <c r="F99" i="2"/>
  <c r="R99"/>
  <c r="T99"/>
  <c r="S99"/>
  <c r="Q182" i="3"/>
  <c r="Q186"/>
  <c r="Q190"/>
  <c r="Q194"/>
  <c r="Q198"/>
  <c r="Q181"/>
  <c r="Q185"/>
  <c r="Q189"/>
  <c r="Q193"/>
  <c r="Q197"/>
  <c r="Q180"/>
  <c r="Q184"/>
  <c r="Q188"/>
  <c r="Q192"/>
  <c r="Q196"/>
  <c r="Q200"/>
  <c r="Q183"/>
  <c r="Q187"/>
  <c r="Q191"/>
  <c r="Q195"/>
  <c r="Q199"/>
  <c r="F162"/>
  <c r="K192"/>
  <c r="L192"/>
  <c r="K180"/>
  <c r="L180"/>
  <c r="K197"/>
  <c r="L197"/>
  <c r="K184"/>
  <c r="L184"/>
  <c r="K194"/>
  <c r="L194"/>
  <c r="K182"/>
  <c r="L182"/>
  <c r="K190"/>
  <c r="L190"/>
  <c r="K191"/>
  <c r="L191"/>
  <c r="K185"/>
  <c r="L185"/>
  <c r="C165"/>
  <c r="K199"/>
  <c r="L199"/>
  <c r="K193"/>
  <c r="L193"/>
  <c r="K198"/>
  <c r="L198"/>
  <c r="K196"/>
  <c r="L196"/>
  <c r="K183"/>
  <c r="L183"/>
  <c r="K195"/>
  <c r="L195"/>
  <c r="K189"/>
  <c r="L189"/>
  <c r="K200"/>
  <c r="L200"/>
  <c r="K187"/>
  <c r="L187"/>
  <c r="K181"/>
  <c r="L181"/>
  <c r="K186"/>
  <c r="L186"/>
  <c r="K188"/>
  <c r="L188"/>
  <c r="C94"/>
  <c r="AF93"/>
  <c r="C208"/>
  <c r="AA93"/>
  <c r="U93"/>
  <c r="V93"/>
  <c r="D93"/>
  <c r="M93"/>
  <c r="C130"/>
  <c r="I207"/>
  <c r="N207"/>
  <c r="O92"/>
  <c r="R226"/>
  <c r="S226"/>
  <c r="R206"/>
  <c r="P91"/>
  <c r="Q91"/>
  <c r="P111"/>
  <c r="Q111"/>
  <c r="O206"/>
  <c r="AB88"/>
  <c r="AB92"/>
  <c r="S206"/>
  <c r="G206"/>
  <c r="AC89"/>
  <c r="W89"/>
  <c r="O89"/>
  <c r="P89"/>
  <c r="Q89"/>
  <c r="W99" i="2"/>
  <c r="D226" i="3"/>
  <c r="F226"/>
  <c r="G226"/>
  <c r="D206"/>
  <c r="X91"/>
  <c r="Y91"/>
  <c r="AB91"/>
  <c r="C170"/>
  <c r="C166"/>
  <c r="C172"/>
  <c r="C171"/>
  <c r="O113"/>
  <c r="W113"/>
  <c r="P113"/>
  <c r="Q113"/>
  <c r="AC113"/>
  <c r="M207"/>
  <c r="O207"/>
  <c r="X92"/>
  <c r="Y92"/>
  <c r="X111"/>
  <c r="Y111"/>
  <c r="AB111"/>
  <c r="C95"/>
  <c r="AF94"/>
  <c r="C209"/>
  <c r="AA94"/>
  <c r="U94"/>
  <c r="V94"/>
  <c r="D94"/>
  <c r="M94"/>
  <c r="E50"/>
  <c r="B30" i="6"/>
  <c r="C90" i="2"/>
  <c r="C123" i="3"/>
  <c r="C127"/>
  <c r="C129"/>
  <c r="C128"/>
  <c r="W118" i="2"/>
  <c r="AC118"/>
  <c r="N93" i="3"/>
  <c r="R93"/>
  <c r="P208"/>
  <c r="H208"/>
  <c r="S93"/>
  <c r="J208"/>
  <c r="K208"/>
  <c r="L208"/>
  <c r="C174"/>
  <c r="O114"/>
  <c r="P114"/>
  <c r="Q114"/>
  <c r="W114"/>
  <c r="AC114"/>
  <c r="AC98" i="2"/>
  <c r="W98"/>
  <c r="AC99"/>
  <c r="C131" i="3"/>
  <c r="U100" i="2"/>
  <c r="C101"/>
  <c r="D100"/>
  <c r="E100"/>
  <c r="R207" i="3"/>
  <c r="E88"/>
  <c r="E92"/>
  <c r="E91"/>
  <c r="E111"/>
  <c r="AD88"/>
  <c r="F88"/>
  <c r="L88"/>
  <c r="G88"/>
  <c r="H88"/>
  <c r="F206"/>
  <c r="T93"/>
  <c r="Q208"/>
  <c r="AB89"/>
  <c r="X89"/>
  <c r="Y89"/>
  <c r="F92"/>
  <c r="H92"/>
  <c r="N55"/>
  <c r="G92"/>
  <c r="AD92"/>
  <c r="AG92"/>
  <c r="F91"/>
  <c r="H91"/>
  <c r="N54"/>
  <c r="AD91"/>
  <c r="AG91"/>
  <c r="G91"/>
  <c r="D55"/>
  <c r="F111"/>
  <c r="H111"/>
  <c r="N74"/>
  <c r="G111"/>
  <c r="AG111"/>
  <c r="AD111"/>
  <c r="D54"/>
  <c r="Y149"/>
  <c r="Y144"/>
  <c r="Y145"/>
  <c r="Y142"/>
  <c r="Y154"/>
  <c r="Y143"/>
  <c r="Y156"/>
  <c r="Y155"/>
  <c r="Y140"/>
  <c r="Y137"/>
  <c r="Y139"/>
  <c r="Y150"/>
  <c r="Y153"/>
  <c r="Y147"/>
  <c r="Y151"/>
  <c r="Y157"/>
  <c r="Y148"/>
  <c r="Y152"/>
  <c r="Y138"/>
  <c r="Y141"/>
  <c r="Y146"/>
  <c r="C132"/>
  <c r="Y191"/>
  <c r="Y185"/>
  <c r="Y199"/>
  <c r="Y193"/>
  <c r="Y200"/>
  <c r="Y181"/>
  <c r="Y180"/>
  <c r="Y194"/>
  <c r="Y195"/>
  <c r="Y189"/>
  <c r="Y187"/>
  <c r="Y197"/>
  <c r="Y190"/>
  <c r="Y188"/>
  <c r="Y182"/>
  <c r="Y196"/>
  <c r="Y183"/>
  <c r="Y192"/>
  <c r="Y198"/>
  <c r="Y186"/>
  <c r="Y184"/>
  <c r="C175"/>
  <c r="H209"/>
  <c r="N94"/>
  <c r="R94"/>
  <c r="P209"/>
  <c r="S94"/>
  <c r="J209"/>
  <c r="K209"/>
  <c r="L209"/>
  <c r="Z99" i="2"/>
  <c r="Z101"/>
  <c r="Z103"/>
  <c r="Z105"/>
  <c r="Z107"/>
  <c r="Z109"/>
  <c r="Z102"/>
  <c r="Z112"/>
  <c r="Z116"/>
  <c r="E42" i="3"/>
  <c r="B27" i="6"/>
  <c r="Z104" i="2"/>
  <c r="Z113"/>
  <c r="Z117"/>
  <c r="C87"/>
  <c r="Z98"/>
  <c r="Z106"/>
  <c r="Z110"/>
  <c r="Z114"/>
  <c r="Z100"/>
  <c r="Z108"/>
  <c r="Z111"/>
  <c r="Z115"/>
  <c r="Z118"/>
  <c r="AA98"/>
  <c r="AA118"/>
  <c r="AA99"/>
  <c r="F100"/>
  <c r="R100"/>
  <c r="T100"/>
  <c r="S100"/>
  <c r="M208" i="3"/>
  <c r="O208"/>
  <c r="D185" i="2"/>
  <c r="C91"/>
  <c r="D186"/>
  <c r="C167" i="3"/>
  <c r="C168"/>
  <c r="C169"/>
  <c r="S180"/>
  <c r="S184"/>
  <c r="S188"/>
  <c r="S192"/>
  <c r="S196"/>
  <c r="S200"/>
  <c r="S183"/>
  <c r="S187"/>
  <c r="S191"/>
  <c r="S195"/>
  <c r="S199"/>
  <c r="S182"/>
  <c r="S186"/>
  <c r="S190"/>
  <c r="S194"/>
  <c r="S198"/>
  <c r="S181"/>
  <c r="S185"/>
  <c r="S189"/>
  <c r="S193"/>
  <c r="S197"/>
  <c r="M180"/>
  <c r="M184"/>
  <c r="M188"/>
  <c r="M192"/>
  <c r="M196"/>
  <c r="M200"/>
  <c r="M183"/>
  <c r="M187"/>
  <c r="M191"/>
  <c r="M195"/>
  <c r="M199"/>
  <c r="M182"/>
  <c r="M186"/>
  <c r="M190"/>
  <c r="M194"/>
  <c r="M198"/>
  <c r="M181"/>
  <c r="M185"/>
  <c r="M189"/>
  <c r="M193"/>
  <c r="M197"/>
  <c r="Q54"/>
  <c r="E206"/>
  <c r="AB113"/>
  <c r="X113"/>
  <c r="Y113"/>
  <c r="Q74"/>
  <c r="E226"/>
  <c r="AA100" i="2"/>
  <c r="AA101"/>
  <c r="C102"/>
  <c r="U101"/>
  <c r="D101"/>
  <c r="E101"/>
  <c r="X114" i="3"/>
  <c r="Y114"/>
  <c r="AB114"/>
  <c r="I208"/>
  <c r="N208"/>
  <c r="O93"/>
  <c r="P93"/>
  <c r="Q93"/>
  <c r="AC93"/>
  <c r="W93"/>
  <c r="C124"/>
  <c r="C125"/>
  <c r="C126"/>
  <c r="M154"/>
  <c r="M150"/>
  <c r="M155"/>
  <c r="M156"/>
  <c r="M152"/>
  <c r="M148"/>
  <c r="M144"/>
  <c r="M140"/>
  <c r="S151"/>
  <c r="S145"/>
  <c r="S141"/>
  <c r="S137"/>
  <c r="S146"/>
  <c r="M142"/>
  <c r="M145"/>
  <c r="M141"/>
  <c r="M137"/>
  <c r="M146"/>
  <c r="S147"/>
  <c r="S143"/>
  <c r="S139"/>
  <c r="S157"/>
  <c r="S153"/>
  <c r="S149"/>
  <c r="S138"/>
  <c r="M147"/>
  <c r="M143"/>
  <c r="M139"/>
  <c r="S154"/>
  <c r="S150"/>
  <c r="S155"/>
  <c r="S156"/>
  <c r="S152"/>
  <c r="M157"/>
  <c r="M153"/>
  <c r="M149"/>
  <c r="S148"/>
  <c r="S144"/>
  <c r="S140"/>
  <c r="M151"/>
  <c r="S142"/>
  <c r="M138"/>
  <c r="C96"/>
  <c r="AF95"/>
  <c r="C210"/>
  <c r="AA95"/>
  <c r="U95"/>
  <c r="V95"/>
  <c r="D95"/>
  <c r="M95"/>
  <c r="S207"/>
  <c r="G207"/>
  <c r="E89"/>
  <c r="E114"/>
  <c r="E113"/>
  <c r="K88"/>
  <c r="AE88"/>
  <c r="B14" i="6"/>
  <c r="L111" i="3"/>
  <c r="T94"/>
  <c r="Q209"/>
  <c r="F89"/>
  <c r="H89"/>
  <c r="AD89"/>
  <c r="G89"/>
  <c r="L92"/>
  <c r="AE92"/>
  <c r="C120"/>
  <c r="G113"/>
  <c r="F113"/>
  <c r="H113"/>
  <c r="AD113"/>
  <c r="AG113"/>
  <c r="C163"/>
  <c r="AD114"/>
  <c r="F114"/>
  <c r="H114"/>
  <c r="G114"/>
  <c r="AG114"/>
  <c r="K111"/>
  <c r="AE111"/>
  <c r="AE91"/>
  <c r="K92"/>
  <c r="I111"/>
  <c r="J111"/>
  <c r="K91"/>
  <c r="L91"/>
  <c r="AG89"/>
  <c r="AG88"/>
  <c r="I91"/>
  <c r="J91"/>
  <c r="I92"/>
  <c r="J92"/>
  <c r="J210"/>
  <c r="K210"/>
  <c r="L210"/>
  <c r="N156"/>
  <c r="O156"/>
  <c r="R155"/>
  <c r="N152"/>
  <c r="O152"/>
  <c r="R151"/>
  <c r="N157"/>
  <c r="O157"/>
  <c r="R156"/>
  <c r="N153"/>
  <c r="O153"/>
  <c r="R157"/>
  <c r="N154"/>
  <c r="O154"/>
  <c r="R153"/>
  <c r="N150"/>
  <c r="O150"/>
  <c r="R149"/>
  <c r="N155"/>
  <c r="O155"/>
  <c r="R154"/>
  <c r="N151"/>
  <c r="O151"/>
  <c r="R150"/>
  <c r="N146"/>
  <c r="O146"/>
  <c r="R145"/>
  <c r="N142"/>
  <c r="O142"/>
  <c r="R141"/>
  <c r="N138"/>
  <c r="O138"/>
  <c r="R137"/>
  <c r="N149"/>
  <c r="O149"/>
  <c r="N147"/>
  <c r="O147"/>
  <c r="R146"/>
  <c r="N143"/>
  <c r="O143"/>
  <c r="R142"/>
  <c r="N139"/>
  <c r="O139"/>
  <c r="R138"/>
  <c r="R152"/>
  <c r="N148"/>
  <c r="O148"/>
  <c r="R147"/>
  <c r="N144"/>
  <c r="O144"/>
  <c r="R143"/>
  <c r="N140"/>
  <c r="O140"/>
  <c r="R139"/>
  <c r="R148"/>
  <c r="N145"/>
  <c r="O145"/>
  <c r="R144"/>
  <c r="N141"/>
  <c r="O141"/>
  <c r="R140"/>
  <c r="N137"/>
  <c r="O137"/>
  <c r="X93"/>
  <c r="Y93"/>
  <c r="AB93"/>
  <c r="R208"/>
  <c r="S208"/>
  <c r="D122" i="2"/>
  <c r="T95" i="3"/>
  <c r="Q210"/>
  <c r="N95"/>
  <c r="R95"/>
  <c r="P210"/>
  <c r="H210"/>
  <c r="S95"/>
  <c r="U102" i="2"/>
  <c r="AA102"/>
  <c r="C103"/>
  <c r="D102"/>
  <c r="E102"/>
  <c r="O99"/>
  <c r="O98"/>
  <c r="D153"/>
  <c r="O100"/>
  <c r="O118"/>
  <c r="D207" i="3"/>
  <c r="F207"/>
  <c r="C97"/>
  <c r="AF96"/>
  <c r="C211"/>
  <c r="AA96"/>
  <c r="U96"/>
  <c r="V96"/>
  <c r="D96"/>
  <c r="M96"/>
  <c r="F101" i="2"/>
  <c r="O101"/>
  <c r="R101"/>
  <c r="T101"/>
  <c r="S101"/>
  <c r="N182" i="3"/>
  <c r="O182"/>
  <c r="R183"/>
  <c r="N186"/>
  <c r="O186"/>
  <c r="R187"/>
  <c r="N190"/>
  <c r="O190"/>
  <c r="R191"/>
  <c r="N194"/>
  <c r="O194"/>
  <c r="R195"/>
  <c r="N198"/>
  <c r="O198"/>
  <c r="R199"/>
  <c r="N181"/>
  <c r="O181"/>
  <c r="R182"/>
  <c r="N185"/>
  <c r="O185"/>
  <c r="R186"/>
  <c r="N189"/>
  <c r="O189"/>
  <c r="R190"/>
  <c r="N193"/>
  <c r="O193"/>
  <c r="R194"/>
  <c r="N197"/>
  <c r="O197"/>
  <c r="R198"/>
  <c r="N180"/>
  <c r="O180"/>
  <c r="R181"/>
  <c r="N184"/>
  <c r="O184"/>
  <c r="R185"/>
  <c r="N188"/>
  <c r="O188"/>
  <c r="R189"/>
  <c r="N192"/>
  <c r="O192"/>
  <c r="R193"/>
  <c r="N196"/>
  <c r="O196"/>
  <c r="R197"/>
  <c r="N200"/>
  <c r="O200"/>
  <c r="R180"/>
  <c r="N183"/>
  <c r="O183"/>
  <c r="R184"/>
  <c r="N187"/>
  <c r="O187"/>
  <c r="R188"/>
  <c r="N191"/>
  <c r="O191"/>
  <c r="R192"/>
  <c r="N195"/>
  <c r="O195"/>
  <c r="R196"/>
  <c r="N199"/>
  <c r="O199"/>
  <c r="R200"/>
  <c r="W100" i="2"/>
  <c r="AC100"/>
  <c r="M209" i="3"/>
  <c r="O209"/>
  <c r="I209"/>
  <c r="N209"/>
  <c r="O94"/>
  <c r="P94"/>
  <c r="Q94"/>
  <c r="W94"/>
  <c r="AC94"/>
  <c r="D125" i="2"/>
  <c r="B24" i="6"/>
  <c r="C88" i="2"/>
  <c r="V101"/>
  <c r="T154" i="3"/>
  <c r="T185"/>
  <c r="T153"/>
  <c r="T194"/>
  <c r="T157"/>
  <c r="T138"/>
  <c r="T139"/>
  <c r="T198"/>
  <c r="T188"/>
  <c r="T152"/>
  <c r="T142"/>
  <c r="E93"/>
  <c r="T186"/>
  <c r="T197"/>
  <c r="T187"/>
  <c r="T156"/>
  <c r="T146"/>
  <c r="T147"/>
  <c r="T180"/>
  <c r="T199"/>
  <c r="T151"/>
  <c r="T137"/>
  <c r="T189"/>
  <c r="T143"/>
  <c r="T195"/>
  <c r="T190"/>
  <c r="T140"/>
  <c r="T200"/>
  <c r="T155"/>
  <c r="T191"/>
  <c r="T182"/>
  <c r="T193"/>
  <c r="T183"/>
  <c r="T150"/>
  <c r="T148"/>
  <c r="T145"/>
  <c r="T181"/>
  <c r="T192"/>
  <c r="T144"/>
  <c r="T141"/>
  <c r="T196"/>
  <c r="T149"/>
  <c r="T184"/>
  <c r="K114"/>
  <c r="L89"/>
  <c r="D208"/>
  <c r="Q56"/>
  <c r="F208"/>
  <c r="L114"/>
  <c r="K113"/>
  <c r="B15" i="6"/>
  <c r="AE89" i="3"/>
  <c r="K89"/>
  <c r="U195"/>
  <c r="W195"/>
  <c r="V195"/>
  <c r="X195"/>
  <c r="U187"/>
  <c r="W187"/>
  <c r="V187"/>
  <c r="X187"/>
  <c r="U200"/>
  <c r="W200"/>
  <c r="V200"/>
  <c r="X200"/>
  <c r="U192"/>
  <c r="W192"/>
  <c r="V192"/>
  <c r="X192"/>
  <c r="U184"/>
  <c r="W184"/>
  <c r="V184"/>
  <c r="X184"/>
  <c r="U197"/>
  <c r="W197"/>
  <c r="V197"/>
  <c r="X197"/>
  <c r="V189"/>
  <c r="U189"/>
  <c r="W189"/>
  <c r="X189"/>
  <c r="U181"/>
  <c r="W181"/>
  <c r="V181"/>
  <c r="X181"/>
  <c r="U194"/>
  <c r="W194"/>
  <c r="V194"/>
  <c r="X194"/>
  <c r="V186"/>
  <c r="U186"/>
  <c r="W186"/>
  <c r="X186"/>
  <c r="V137"/>
  <c r="U137"/>
  <c r="W137"/>
  <c r="X137"/>
  <c r="U145"/>
  <c r="W145"/>
  <c r="V145"/>
  <c r="X145"/>
  <c r="U143"/>
  <c r="W143"/>
  <c r="V143"/>
  <c r="X143"/>
  <c r="F93"/>
  <c r="H93"/>
  <c r="N56"/>
  <c r="AD93"/>
  <c r="G93"/>
  <c r="AG93"/>
  <c r="U140"/>
  <c r="W140"/>
  <c r="V140"/>
  <c r="X140"/>
  <c r="V148"/>
  <c r="U148"/>
  <c r="W148"/>
  <c r="X148"/>
  <c r="U149"/>
  <c r="W149"/>
  <c r="V149"/>
  <c r="X149"/>
  <c r="U142"/>
  <c r="W142"/>
  <c r="V142"/>
  <c r="X142"/>
  <c r="U151"/>
  <c r="W151"/>
  <c r="V151"/>
  <c r="X151"/>
  <c r="U150"/>
  <c r="W150"/>
  <c r="V150"/>
  <c r="X150"/>
  <c r="V153"/>
  <c r="U153"/>
  <c r="W153"/>
  <c r="X153"/>
  <c r="U152"/>
  <c r="W152"/>
  <c r="V152"/>
  <c r="X152"/>
  <c r="U199"/>
  <c r="W199"/>
  <c r="V199"/>
  <c r="X199"/>
  <c r="U183"/>
  <c r="W183"/>
  <c r="V183"/>
  <c r="X183"/>
  <c r="U196"/>
  <c r="W196"/>
  <c r="V196"/>
  <c r="X196"/>
  <c r="U188"/>
  <c r="W188"/>
  <c r="V188"/>
  <c r="X188"/>
  <c r="V180"/>
  <c r="U180"/>
  <c r="W180"/>
  <c r="X180"/>
  <c r="U193"/>
  <c r="W193"/>
  <c r="V193"/>
  <c r="X193"/>
  <c r="U185"/>
  <c r="W185"/>
  <c r="V185"/>
  <c r="X185"/>
  <c r="U198"/>
  <c r="W198"/>
  <c r="V198"/>
  <c r="X198"/>
  <c r="U190"/>
  <c r="W190"/>
  <c r="V190"/>
  <c r="X190"/>
  <c r="U182"/>
  <c r="W182"/>
  <c r="V182"/>
  <c r="X182"/>
  <c r="U141"/>
  <c r="W141"/>
  <c r="V141"/>
  <c r="X141"/>
  <c r="U139"/>
  <c r="W139"/>
  <c r="V139"/>
  <c r="X139"/>
  <c r="V147"/>
  <c r="U147"/>
  <c r="W147"/>
  <c r="X147"/>
  <c r="V191"/>
  <c r="U191"/>
  <c r="W191"/>
  <c r="X191"/>
  <c r="U144"/>
  <c r="W144"/>
  <c r="V144"/>
  <c r="X144"/>
  <c r="U138"/>
  <c r="W138"/>
  <c r="V138"/>
  <c r="X138"/>
  <c r="U146"/>
  <c r="W146"/>
  <c r="V146"/>
  <c r="X146"/>
  <c r="U155"/>
  <c r="W155"/>
  <c r="V155"/>
  <c r="X155"/>
  <c r="V154"/>
  <c r="U154"/>
  <c r="W154"/>
  <c r="X154"/>
  <c r="U157"/>
  <c r="W157"/>
  <c r="V157"/>
  <c r="X157"/>
  <c r="V156"/>
  <c r="U156"/>
  <c r="W156"/>
  <c r="X156"/>
  <c r="I89"/>
  <c r="J89"/>
  <c r="I88"/>
  <c r="J88"/>
  <c r="AE114"/>
  <c r="C164"/>
  <c r="J113"/>
  <c r="I113"/>
  <c r="AE113"/>
  <c r="C121"/>
  <c r="I114"/>
  <c r="J114"/>
  <c r="L113"/>
  <c r="G208"/>
  <c r="X94"/>
  <c r="Y94"/>
  <c r="AB94"/>
  <c r="W101" i="2"/>
  <c r="AC101"/>
  <c r="AA103"/>
  <c r="C104"/>
  <c r="U103"/>
  <c r="V103"/>
  <c r="D103"/>
  <c r="E103"/>
  <c r="I210" i="3"/>
  <c r="N210"/>
  <c r="O95"/>
  <c r="P95"/>
  <c r="Q95"/>
  <c r="W95"/>
  <c r="AC95"/>
  <c r="M210"/>
  <c r="O210"/>
  <c r="R209"/>
  <c r="S209"/>
  <c r="D209"/>
  <c r="V102" i="2"/>
  <c r="P99"/>
  <c r="Q99"/>
  <c r="P101"/>
  <c r="Q101"/>
  <c r="P98"/>
  <c r="Q98"/>
  <c r="P100"/>
  <c r="Q100"/>
  <c r="P118"/>
  <c r="Q118"/>
  <c r="D152"/>
  <c r="V98"/>
  <c r="V118"/>
  <c r="V99"/>
  <c r="V100"/>
  <c r="C98" i="3"/>
  <c r="AF97"/>
  <c r="C212"/>
  <c r="AA97"/>
  <c r="U97"/>
  <c r="V97"/>
  <c r="D97"/>
  <c r="M97"/>
  <c r="Q55"/>
  <c r="E207"/>
  <c r="T96"/>
  <c r="Q211"/>
  <c r="N96"/>
  <c r="R96"/>
  <c r="P211"/>
  <c r="H211"/>
  <c r="S96"/>
  <c r="J211"/>
  <c r="K211"/>
  <c r="L211"/>
  <c r="F102" i="2"/>
  <c r="R102"/>
  <c r="P102"/>
  <c r="Q102"/>
  <c r="T102"/>
  <c r="S102"/>
  <c r="R210" i="3"/>
  <c r="E189"/>
  <c r="E192"/>
  <c r="E156"/>
  <c r="E146"/>
  <c r="E197"/>
  <c r="E153"/>
  <c r="E155"/>
  <c r="E149"/>
  <c r="E144"/>
  <c r="E142"/>
  <c r="E198"/>
  <c r="E157"/>
  <c r="E194"/>
  <c r="E148"/>
  <c r="E191"/>
  <c r="E187"/>
  <c r="E150"/>
  <c r="E182"/>
  <c r="E200"/>
  <c r="E141"/>
  <c r="E180"/>
  <c r="E138"/>
  <c r="E140"/>
  <c r="E145"/>
  <c r="E184"/>
  <c r="E137"/>
  <c r="E193"/>
  <c r="E94"/>
  <c r="E185"/>
  <c r="E181"/>
  <c r="E188"/>
  <c r="E147"/>
  <c r="E195"/>
  <c r="E143"/>
  <c r="E199"/>
  <c r="E183"/>
  <c r="E154"/>
  <c r="E196"/>
  <c r="E152"/>
  <c r="E139"/>
  <c r="E186"/>
  <c r="E151"/>
  <c r="E190"/>
  <c r="E208"/>
  <c r="F146"/>
  <c r="F191"/>
  <c r="F190"/>
  <c r="F199"/>
  <c r="F151"/>
  <c r="F148"/>
  <c r="F140"/>
  <c r="F143"/>
  <c r="F186"/>
  <c r="F194"/>
  <c r="F184"/>
  <c r="F195"/>
  <c r="F156"/>
  <c r="F157"/>
  <c r="F138"/>
  <c r="F147"/>
  <c r="F139"/>
  <c r="F198"/>
  <c r="F180"/>
  <c r="F188"/>
  <c r="F152"/>
  <c r="F142"/>
  <c r="F145"/>
  <c r="F181"/>
  <c r="F192"/>
  <c r="F144"/>
  <c r="F141"/>
  <c r="F185"/>
  <c r="F196"/>
  <c r="F149"/>
  <c r="F200"/>
  <c r="F94"/>
  <c r="H94"/>
  <c r="N57"/>
  <c r="AD94"/>
  <c r="G94"/>
  <c r="AG94"/>
  <c r="F154"/>
  <c r="F155"/>
  <c r="F182"/>
  <c r="F193"/>
  <c r="F183"/>
  <c r="F153"/>
  <c r="F150"/>
  <c r="F137"/>
  <c r="F189"/>
  <c r="F197"/>
  <c r="F187"/>
  <c r="L93"/>
  <c r="K93"/>
  <c r="AE93"/>
  <c r="I93"/>
  <c r="J93"/>
  <c r="I211"/>
  <c r="N211"/>
  <c r="O96"/>
  <c r="P96"/>
  <c r="Q96"/>
  <c r="AC96"/>
  <c r="W96"/>
  <c r="C99"/>
  <c r="AF98"/>
  <c r="C213"/>
  <c r="AA98"/>
  <c r="U98"/>
  <c r="V98"/>
  <c r="D98"/>
  <c r="M98"/>
  <c r="U104" i="2"/>
  <c r="V104"/>
  <c r="AA104"/>
  <c r="C105"/>
  <c r="D104"/>
  <c r="E104"/>
  <c r="S210" i="3"/>
  <c r="G209"/>
  <c r="O211"/>
  <c r="M211"/>
  <c r="N97"/>
  <c r="R97"/>
  <c r="P212"/>
  <c r="H212"/>
  <c r="T97"/>
  <c r="Q212"/>
  <c r="S97"/>
  <c r="J212"/>
  <c r="K212"/>
  <c r="L212"/>
  <c r="Q57"/>
  <c r="E209"/>
  <c r="AB118" i="2"/>
  <c r="X118"/>
  <c r="Y118"/>
  <c r="AB100"/>
  <c r="X100"/>
  <c r="Y100"/>
  <c r="AB98"/>
  <c r="X98"/>
  <c r="Y98"/>
  <c r="X99"/>
  <c r="Y99"/>
  <c r="AB99"/>
  <c r="X95" i="3"/>
  <c r="Y95"/>
  <c r="AB95"/>
  <c r="F103" i="2"/>
  <c r="R103"/>
  <c r="T103"/>
  <c r="S103"/>
  <c r="AC102"/>
  <c r="W102"/>
  <c r="O102"/>
  <c r="X101"/>
  <c r="Y101"/>
  <c r="AB101"/>
  <c r="F209" i="3"/>
  <c r="G99" i="2"/>
  <c r="G101"/>
  <c r="E95" i="3"/>
  <c r="G98" i="2"/>
  <c r="G118"/>
  <c r="G100"/>
  <c r="R211" i="3"/>
  <c r="K94"/>
  <c r="I101" i="2"/>
  <c r="K101"/>
  <c r="H101"/>
  <c r="F95" i="3"/>
  <c r="H95"/>
  <c r="N58"/>
  <c r="AD95"/>
  <c r="G95"/>
  <c r="AG95"/>
  <c r="D156" i="2"/>
  <c r="D121"/>
  <c r="D172"/>
  <c r="B21" i="6"/>
  <c r="I98" i="2"/>
  <c r="K98"/>
  <c r="H98"/>
  <c r="D124"/>
  <c r="K118"/>
  <c r="I118"/>
  <c r="H118"/>
  <c r="H99"/>
  <c r="K99"/>
  <c r="I99"/>
  <c r="I100"/>
  <c r="H100"/>
  <c r="K100"/>
  <c r="H197" i="3"/>
  <c r="AA197"/>
  <c r="G197"/>
  <c r="P71"/>
  <c r="AB197"/>
  <c r="Z197"/>
  <c r="I197"/>
  <c r="J197"/>
  <c r="AB182"/>
  <c r="AA182"/>
  <c r="G182"/>
  <c r="P56"/>
  <c r="Z182"/>
  <c r="I182"/>
  <c r="J182"/>
  <c r="H182"/>
  <c r="H154"/>
  <c r="AB154"/>
  <c r="Z154"/>
  <c r="AA154"/>
  <c r="G154"/>
  <c r="O71"/>
  <c r="I154"/>
  <c r="AA149"/>
  <c r="G149"/>
  <c r="O66"/>
  <c r="I149"/>
  <c r="H149"/>
  <c r="AB149"/>
  <c r="Z149"/>
  <c r="H144"/>
  <c r="AB144"/>
  <c r="AA144"/>
  <c r="G144"/>
  <c r="O61"/>
  <c r="Z144"/>
  <c r="I144"/>
  <c r="J144"/>
  <c r="H142"/>
  <c r="AA142"/>
  <c r="G142"/>
  <c r="O59"/>
  <c r="I142"/>
  <c r="J142"/>
  <c r="AB142"/>
  <c r="Z142"/>
  <c r="AA180"/>
  <c r="G180"/>
  <c r="P54"/>
  <c r="I180"/>
  <c r="J180"/>
  <c r="H180"/>
  <c r="Z180"/>
  <c r="AB180"/>
  <c r="H138"/>
  <c r="AA138"/>
  <c r="G138"/>
  <c r="O55"/>
  <c r="I138"/>
  <c r="J138"/>
  <c r="AB138"/>
  <c r="Z138"/>
  <c r="AA156"/>
  <c r="G156"/>
  <c r="I156"/>
  <c r="H156"/>
  <c r="AB156"/>
  <c r="Z156"/>
  <c r="AB186"/>
  <c r="Z186"/>
  <c r="AA186"/>
  <c r="G186"/>
  <c r="P60"/>
  <c r="I186"/>
  <c r="J186"/>
  <c r="H186"/>
  <c r="AB151"/>
  <c r="H151"/>
  <c r="AA151"/>
  <c r="G151"/>
  <c r="O68"/>
  <c r="Z151"/>
  <c r="I151"/>
  <c r="Z146"/>
  <c r="I146"/>
  <c r="AA146"/>
  <c r="G146"/>
  <c r="J146"/>
  <c r="H146"/>
  <c r="O63"/>
  <c r="AB146"/>
  <c r="L94"/>
  <c r="AA187"/>
  <c r="G187"/>
  <c r="P61"/>
  <c r="Z187"/>
  <c r="I187"/>
  <c r="J187"/>
  <c r="H187"/>
  <c r="AB187"/>
  <c r="AA150"/>
  <c r="G150"/>
  <c r="O67"/>
  <c r="Z150"/>
  <c r="I150"/>
  <c r="H150"/>
  <c r="AB150"/>
  <c r="H193"/>
  <c r="AB193"/>
  <c r="Z193"/>
  <c r="AA193"/>
  <c r="G193"/>
  <c r="P67"/>
  <c r="I193"/>
  <c r="J193"/>
  <c r="AA200"/>
  <c r="G200"/>
  <c r="Z200"/>
  <c r="AB200"/>
  <c r="I200"/>
  <c r="H200"/>
  <c r="AA141"/>
  <c r="G141"/>
  <c r="O58"/>
  <c r="I141"/>
  <c r="J141"/>
  <c r="H141"/>
  <c r="AB141"/>
  <c r="Z141"/>
  <c r="AA145"/>
  <c r="G145"/>
  <c r="O62"/>
  <c r="H145"/>
  <c r="AB145"/>
  <c r="I145"/>
  <c r="J145"/>
  <c r="Z145"/>
  <c r="AB188"/>
  <c r="AA188"/>
  <c r="G188"/>
  <c r="P62"/>
  <c r="I188"/>
  <c r="J188"/>
  <c r="H188"/>
  <c r="Z188"/>
  <c r="AB147"/>
  <c r="Z147"/>
  <c r="I147"/>
  <c r="AA147"/>
  <c r="G147"/>
  <c r="J147"/>
  <c r="H147"/>
  <c r="O64"/>
  <c r="H194"/>
  <c r="AA194"/>
  <c r="G194"/>
  <c r="P68"/>
  <c r="Z194"/>
  <c r="AB194"/>
  <c r="I194"/>
  <c r="J194"/>
  <c r="AA148"/>
  <c r="G148"/>
  <c r="O65"/>
  <c r="I148"/>
  <c r="Z148"/>
  <c r="H148"/>
  <c r="AB148"/>
  <c r="Z191"/>
  <c r="AA191"/>
  <c r="G191"/>
  <c r="P65"/>
  <c r="I191"/>
  <c r="J191"/>
  <c r="H191"/>
  <c r="AB191"/>
  <c r="AE94"/>
  <c r="Z137"/>
  <c r="H137"/>
  <c r="AA137"/>
  <c r="G137"/>
  <c r="O54"/>
  <c r="I137"/>
  <c r="J137"/>
  <c r="AB137"/>
  <c r="AB183"/>
  <c r="Z183"/>
  <c r="AA183"/>
  <c r="G183"/>
  <c r="P57"/>
  <c r="I183"/>
  <c r="J183"/>
  <c r="H183"/>
  <c r="Z155"/>
  <c r="I155"/>
  <c r="H155"/>
  <c r="AB155"/>
  <c r="AA155"/>
  <c r="G155"/>
  <c r="O72"/>
  <c r="I94"/>
  <c r="J94"/>
  <c r="AA185"/>
  <c r="G185"/>
  <c r="P59"/>
  <c r="Z185"/>
  <c r="I185"/>
  <c r="J185"/>
  <c r="H185"/>
  <c r="AB185"/>
  <c r="AA181"/>
  <c r="G181"/>
  <c r="P55"/>
  <c r="Z181"/>
  <c r="AB181"/>
  <c r="I181"/>
  <c r="J181"/>
  <c r="H181"/>
  <c r="H152"/>
  <c r="AB152"/>
  <c r="Z152"/>
  <c r="AA152"/>
  <c r="G152"/>
  <c r="O69"/>
  <c r="I152"/>
  <c r="Z139"/>
  <c r="I139"/>
  <c r="J139"/>
  <c r="H139"/>
  <c r="AB139"/>
  <c r="AA139"/>
  <c r="G139"/>
  <c r="O56"/>
  <c r="AA157"/>
  <c r="G157"/>
  <c r="Z157"/>
  <c r="I157"/>
  <c r="H157"/>
  <c r="AB157"/>
  <c r="H184"/>
  <c r="AA184"/>
  <c r="G184"/>
  <c r="P58"/>
  <c r="Z184"/>
  <c r="AB184"/>
  <c r="I184"/>
  <c r="J184"/>
  <c r="AB140"/>
  <c r="AA140"/>
  <c r="G140"/>
  <c r="O57"/>
  <c r="Z140"/>
  <c r="H140"/>
  <c r="I140"/>
  <c r="J140"/>
  <c r="H190"/>
  <c r="Z190"/>
  <c r="AB190"/>
  <c r="AA190"/>
  <c r="G190"/>
  <c r="P64"/>
  <c r="I190"/>
  <c r="J190"/>
  <c r="X102" i="2"/>
  <c r="Y102"/>
  <c r="H189" i="3"/>
  <c r="AB189"/>
  <c r="Z189"/>
  <c r="AA189"/>
  <c r="G189"/>
  <c r="P63"/>
  <c r="I189"/>
  <c r="J189"/>
  <c r="AA153"/>
  <c r="G153"/>
  <c r="O70"/>
  <c r="I153"/>
  <c r="H153"/>
  <c r="AB153"/>
  <c r="Z153"/>
  <c r="AB196"/>
  <c r="AA196"/>
  <c r="G196"/>
  <c r="P70"/>
  <c r="I196"/>
  <c r="J196"/>
  <c r="H196"/>
  <c r="Z196"/>
  <c r="AA192"/>
  <c r="G192"/>
  <c r="P66"/>
  <c r="AB192"/>
  <c r="I192"/>
  <c r="J192"/>
  <c r="H192"/>
  <c r="Z192"/>
  <c r="Z198"/>
  <c r="AA198"/>
  <c r="G198"/>
  <c r="P72"/>
  <c r="AB198"/>
  <c r="I198"/>
  <c r="H198"/>
  <c r="Z195"/>
  <c r="I195"/>
  <c r="AA195"/>
  <c r="G195"/>
  <c r="J195"/>
  <c r="H195"/>
  <c r="P69"/>
  <c r="AB195"/>
  <c r="AB143"/>
  <c r="Z143"/>
  <c r="AA143"/>
  <c r="G143"/>
  <c r="O60"/>
  <c r="I143"/>
  <c r="J143"/>
  <c r="H143"/>
  <c r="AB199"/>
  <c r="Z199"/>
  <c r="AA199"/>
  <c r="G199"/>
  <c r="P73"/>
  <c r="I199"/>
  <c r="H199"/>
  <c r="H213"/>
  <c r="T98"/>
  <c r="Q213"/>
  <c r="N98"/>
  <c r="R98"/>
  <c r="P213"/>
  <c r="S98"/>
  <c r="J213"/>
  <c r="K213"/>
  <c r="L213"/>
  <c r="X96"/>
  <c r="Y96"/>
  <c r="AB96"/>
  <c r="AB102" i="2"/>
  <c r="O103"/>
  <c r="AC103"/>
  <c r="W103"/>
  <c r="P103"/>
  <c r="Q103"/>
  <c r="O212" i="3"/>
  <c r="M212"/>
  <c r="F104" i="2"/>
  <c r="R104"/>
  <c r="T104"/>
  <c r="S104"/>
  <c r="S211" i="3"/>
  <c r="D211"/>
  <c r="I212"/>
  <c r="N212"/>
  <c r="O97"/>
  <c r="P97"/>
  <c r="Q97"/>
  <c r="AC97"/>
  <c r="W97"/>
  <c r="D210"/>
  <c r="G210"/>
  <c r="F210"/>
  <c r="AA105" i="2"/>
  <c r="C106"/>
  <c r="U105"/>
  <c r="V105"/>
  <c r="D105"/>
  <c r="E105"/>
  <c r="C100" i="3"/>
  <c r="AF99"/>
  <c r="C214"/>
  <c r="AA99"/>
  <c r="U99"/>
  <c r="V99"/>
  <c r="D99"/>
  <c r="M99"/>
  <c r="G102" i="2"/>
  <c r="E96" i="3"/>
  <c r="J150"/>
  <c r="J98" i="2"/>
  <c r="D155"/>
  <c r="D162"/>
  <c r="L101"/>
  <c r="M101"/>
  <c r="N101"/>
  <c r="J152" i="3"/>
  <c r="J198"/>
  <c r="J148"/>
  <c r="J199"/>
  <c r="J149"/>
  <c r="J151"/>
  <c r="J154"/>
  <c r="J155"/>
  <c r="J153"/>
  <c r="L95"/>
  <c r="AE95"/>
  <c r="L99" i="2"/>
  <c r="L100"/>
  <c r="M99"/>
  <c r="N99"/>
  <c r="M100"/>
  <c r="N100"/>
  <c r="L98"/>
  <c r="D171"/>
  <c r="R212" i="3"/>
  <c r="S212"/>
  <c r="D212"/>
  <c r="L118" i="2"/>
  <c r="D158"/>
  <c r="J101"/>
  <c r="K102"/>
  <c r="I102"/>
  <c r="H102"/>
  <c r="F96" i="3"/>
  <c r="H96"/>
  <c r="N59"/>
  <c r="AD96"/>
  <c r="G96"/>
  <c r="AG96"/>
  <c r="J99" i="2"/>
  <c r="M98"/>
  <c r="K95" i="3"/>
  <c r="O74"/>
  <c r="J157"/>
  <c r="J100" i="2"/>
  <c r="M118"/>
  <c r="P74" i="3"/>
  <c r="J200"/>
  <c r="O73"/>
  <c r="J156"/>
  <c r="C135" i="2"/>
  <c r="C134"/>
  <c r="C129"/>
  <c r="D176"/>
  <c r="C141"/>
  <c r="D165"/>
  <c r="C130"/>
  <c r="I95" i="3"/>
  <c r="J95"/>
  <c r="J118" i="2"/>
  <c r="C101" i="3"/>
  <c r="AF100"/>
  <c r="C215"/>
  <c r="AA100"/>
  <c r="U100"/>
  <c r="V100"/>
  <c r="D100"/>
  <c r="M100"/>
  <c r="U106" i="2"/>
  <c r="V106"/>
  <c r="AA106"/>
  <c r="C107"/>
  <c r="D106"/>
  <c r="E106"/>
  <c r="Q58" i="3"/>
  <c r="E210"/>
  <c r="O104" i="2"/>
  <c r="P104"/>
  <c r="Q104"/>
  <c r="W104"/>
  <c r="AC104"/>
  <c r="X103"/>
  <c r="Y103"/>
  <c r="AB103"/>
  <c r="O213" i="3"/>
  <c r="M213"/>
  <c r="I213"/>
  <c r="N213"/>
  <c r="O98"/>
  <c r="P98"/>
  <c r="Q98"/>
  <c r="W98"/>
  <c r="AC98"/>
  <c r="G211"/>
  <c r="J214"/>
  <c r="K214"/>
  <c r="L214"/>
  <c r="F211"/>
  <c r="Q59"/>
  <c r="E211"/>
  <c r="T99"/>
  <c r="Q214"/>
  <c r="N99"/>
  <c r="R99"/>
  <c r="P214"/>
  <c r="H214"/>
  <c r="S99"/>
  <c r="X97"/>
  <c r="Y97"/>
  <c r="AB97"/>
  <c r="F105" i="2"/>
  <c r="R105"/>
  <c r="T105"/>
  <c r="S105"/>
  <c r="E97" i="3"/>
  <c r="G103" i="2"/>
  <c r="C142"/>
  <c r="D166"/>
  <c r="R213" i="3"/>
  <c r="S213"/>
  <c r="D213"/>
  <c r="C143" i="2"/>
  <c r="D167"/>
  <c r="B22" i="6"/>
  <c r="L102" i="2"/>
  <c r="F212" i="3"/>
  <c r="K96"/>
  <c r="F129" i="2"/>
  <c r="I129"/>
  <c r="D177"/>
  <c r="D157"/>
  <c r="J102"/>
  <c r="I103"/>
  <c r="K103"/>
  <c r="H103"/>
  <c r="F97" i="3"/>
  <c r="H97"/>
  <c r="N60"/>
  <c r="AD97"/>
  <c r="G97"/>
  <c r="AG97"/>
  <c r="B17" i="6"/>
  <c r="N118" i="2"/>
  <c r="N98"/>
  <c r="B16" i="6"/>
  <c r="I96" i="3"/>
  <c r="J96"/>
  <c r="D179" i="2"/>
  <c r="I130"/>
  <c r="F130"/>
  <c r="L96" i="3"/>
  <c r="D181" i="2"/>
  <c r="D192"/>
  <c r="C137"/>
  <c r="D184"/>
  <c r="C136"/>
  <c r="AE96" i="3"/>
  <c r="M102" i="2"/>
  <c r="N102"/>
  <c r="Q60" i="3"/>
  <c r="E212"/>
  <c r="O214"/>
  <c r="M214"/>
  <c r="X98"/>
  <c r="Y98"/>
  <c r="AB98"/>
  <c r="AB104" i="2"/>
  <c r="X104"/>
  <c r="Y104"/>
  <c r="G212" i="3"/>
  <c r="O105" i="2"/>
  <c r="P105"/>
  <c r="Q105"/>
  <c r="AC105"/>
  <c r="W105"/>
  <c r="AA107"/>
  <c r="C108"/>
  <c r="U107"/>
  <c r="V107"/>
  <c r="D107"/>
  <c r="E107"/>
  <c r="C102" i="3"/>
  <c r="AF101"/>
  <c r="C216"/>
  <c r="AA101"/>
  <c r="U101"/>
  <c r="V101"/>
  <c r="D101"/>
  <c r="M101"/>
  <c r="T100"/>
  <c r="Q215"/>
  <c r="N100"/>
  <c r="R100"/>
  <c r="P215"/>
  <c r="H215"/>
  <c r="S100"/>
  <c r="J215"/>
  <c r="K215"/>
  <c r="L215"/>
  <c r="I214"/>
  <c r="N214"/>
  <c r="O99"/>
  <c r="P99"/>
  <c r="Q99"/>
  <c r="AC99"/>
  <c r="W99"/>
  <c r="F106" i="2"/>
  <c r="R106"/>
  <c r="T106"/>
  <c r="S106"/>
  <c r="E98" i="3"/>
  <c r="G104" i="2"/>
  <c r="J103"/>
  <c r="K97" i="3"/>
  <c r="F213"/>
  <c r="L103" i="2"/>
  <c r="L97" i="3"/>
  <c r="K104" i="2"/>
  <c r="I104"/>
  <c r="H104"/>
  <c r="F98" i="3"/>
  <c r="H98"/>
  <c r="N61"/>
  <c r="AD98"/>
  <c r="G98"/>
  <c r="AG98"/>
  <c r="D182" i="2"/>
  <c r="F136"/>
  <c r="D183"/>
  <c r="I97" i="3"/>
  <c r="J97"/>
  <c r="AE97"/>
  <c r="M103" i="2"/>
  <c r="N103"/>
  <c r="F107"/>
  <c r="R107"/>
  <c r="T107"/>
  <c r="S107"/>
  <c r="X105"/>
  <c r="Y105"/>
  <c r="AB105"/>
  <c r="G213" i="3"/>
  <c r="I215"/>
  <c r="N215"/>
  <c r="O100"/>
  <c r="P100"/>
  <c r="Q100"/>
  <c r="AC100"/>
  <c r="W100"/>
  <c r="R214"/>
  <c r="S214"/>
  <c r="D214"/>
  <c r="X99"/>
  <c r="Y99"/>
  <c r="AB99"/>
  <c r="M215"/>
  <c r="O215"/>
  <c r="Q61"/>
  <c r="E213"/>
  <c r="C103"/>
  <c r="AF102"/>
  <c r="C217"/>
  <c r="AA102"/>
  <c r="U102"/>
  <c r="V102"/>
  <c r="D102"/>
  <c r="M102"/>
  <c r="U108" i="2"/>
  <c r="V108"/>
  <c r="AA108"/>
  <c r="C109"/>
  <c r="D108"/>
  <c r="E108"/>
  <c r="O106"/>
  <c r="P106"/>
  <c r="Q106"/>
  <c r="AC106"/>
  <c r="W106"/>
  <c r="N101" i="3"/>
  <c r="R101"/>
  <c r="P216"/>
  <c r="H216"/>
  <c r="T101"/>
  <c r="Q216"/>
  <c r="S101"/>
  <c r="J216"/>
  <c r="K216"/>
  <c r="L216"/>
  <c r="E99"/>
  <c r="G105" i="2"/>
  <c r="R215" i="3"/>
  <c r="S215"/>
  <c r="D215"/>
  <c r="K98"/>
  <c r="F214"/>
  <c r="L104" i="2"/>
  <c r="J104"/>
  <c r="F99" i="3"/>
  <c r="H99"/>
  <c r="N62"/>
  <c r="AD99"/>
  <c r="G99"/>
  <c r="AG99"/>
  <c r="I105" i="2"/>
  <c r="K105"/>
  <c r="H105"/>
  <c r="J98" i="3"/>
  <c r="I98"/>
  <c r="L98"/>
  <c r="AE98"/>
  <c r="M104" i="2"/>
  <c r="N104"/>
  <c r="M216" i="3"/>
  <c r="O216"/>
  <c r="AA109" i="2"/>
  <c r="C110"/>
  <c r="U109"/>
  <c r="V109"/>
  <c r="D109"/>
  <c r="E109"/>
  <c r="C104" i="3"/>
  <c r="AF103"/>
  <c r="C218"/>
  <c r="AA103"/>
  <c r="U103"/>
  <c r="V103"/>
  <c r="D103"/>
  <c r="M103"/>
  <c r="G214"/>
  <c r="AB106" i="2"/>
  <c r="X106"/>
  <c r="Y106"/>
  <c r="H217" i="3"/>
  <c r="T102"/>
  <c r="Q217"/>
  <c r="N102"/>
  <c r="R102"/>
  <c r="P217"/>
  <c r="S102"/>
  <c r="J217"/>
  <c r="K217"/>
  <c r="L217"/>
  <c r="X100"/>
  <c r="Y100"/>
  <c r="AB100"/>
  <c r="I216"/>
  <c r="N216"/>
  <c r="O101"/>
  <c r="P101"/>
  <c r="Q101"/>
  <c r="AC101"/>
  <c r="W101"/>
  <c r="F108" i="2"/>
  <c r="R108"/>
  <c r="T108"/>
  <c r="S108"/>
  <c r="Q62" i="3"/>
  <c r="E214"/>
  <c r="O107" i="2"/>
  <c r="P107"/>
  <c r="Q107"/>
  <c r="W107"/>
  <c r="AC107"/>
  <c r="G106"/>
  <c r="E100" i="3"/>
  <c r="J105" i="2"/>
  <c r="AE99" i="3"/>
  <c r="L99"/>
  <c r="K106" i="2"/>
  <c r="I106"/>
  <c r="H106"/>
  <c r="AD100" i="3"/>
  <c r="F100"/>
  <c r="H100"/>
  <c r="N63"/>
  <c r="G100"/>
  <c r="AG100"/>
  <c r="K99"/>
  <c r="L105" i="2"/>
  <c r="J99" i="3"/>
  <c r="I99"/>
  <c r="M105" i="2"/>
  <c r="N105"/>
  <c r="X107"/>
  <c r="Y107"/>
  <c r="AB107"/>
  <c r="O108"/>
  <c r="P108"/>
  <c r="Q108"/>
  <c r="W108"/>
  <c r="AC108"/>
  <c r="T103" i="3"/>
  <c r="Q218"/>
  <c r="N103"/>
  <c r="R103"/>
  <c r="P218"/>
  <c r="H218"/>
  <c r="S103"/>
  <c r="J218"/>
  <c r="K218"/>
  <c r="L218"/>
  <c r="G215"/>
  <c r="M217"/>
  <c r="O217"/>
  <c r="I217"/>
  <c r="N217"/>
  <c r="O102"/>
  <c r="P102"/>
  <c r="Q102"/>
  <c r="AC102"/>
  <c r="W102"/>
  <c r="F109" i="2"/>
  <c r="R109"/>
  <c r="T109"/>
  <c r="S109"/>
  <c r="X101" i="3"/>
  <c r="Y101"/>
  <c r="AB101"/>
  <c r="F215"/>
  <c r="R216"/>
  <c r="S216"/>
  <c r="Q63"/>
  <c r="E215"/>
  <c r="C105"/>
  <c r="AF104"/>
  <c r="C219"/>
  <c r="AA104"/>
  <c r="U104"/>
  <c r="V104"/>
  <c r="D104"/>
  <c r="M104"/>
  <c r="U110" i="2"/>
  <c r="V110"/>
  <c r="AA110"/>
  <c r="C111"/>
  <c r="D110"/>
  <c r="E110"/>
  <c r="G107"/>
  <c r="E101" i="3"/>
  <c r="L106" i="2"/>
  <c r="J106"/>
  <c r="AE100" i="3"/>
  <c r="L100"/>
  <c r="K100"/>
  <c r="AD101"/>
  <c r="F101"/>
  <c r="H101"/>
  <c r="N64"/>
  <c r="G101"/>
  <c r="AG101"/>
  <c r="K107" i="2"/>
  <c r="I107"/>
  <c r="H107"/>
  <c r="I100" i="3"/>
  <c r="J100"/>
  <c r="M106" i="2"/>
  <c r="N106"/>
  <c r="D216" i="3"/>
  <c r="F216"/>
  <c r="G216"/>
  <c r="F110" i="2"/>
  <c r="R110"/>
  <c r="T110"/>
  <c r="S110"/>
  <c r="I218" i="3"/>
  <c r="N218"/>
  <c r="O103"/>
  <c r="P103"/>
  <c r="Q103"/>
  <c r="W103"/>
  <c r="AC103"/>
  <c r="AB108" i="2"/>
  <c r="X108"/>
  <c r="Y108"/>
  <c r="X102" i="3"/>
  <c r="Y102"/>
  <c r="AB102"/>
  <c r="M218"/>
  <c r="O218"/>
  <c r="AA111" i="2"/>
  <c r="C112"/>
  <c r="U111"/>
  <c r="V111"/>
  <c r="D111"/>
  <c r="E111"/>
  <c r="C106" i="3"/>
  <c r="AF105"/>
  <c r="C220"/>
  <c r="AA105"/>
  <c r="U105"/>
  <c r="V105"/>
  <c r="D105"/>
  <c r="M105"/>
  <c r="O109" i="2"/>
  <c r="P109"/>
  <c r="Q109"/>
  <c r="AC109"/>
  <c r="W109"/>
  <c r="T104" i="3"/>
  <c r="Q219"/>
  <c r="N104"/>
  <c r="R104"/>
  <c r="P219"/>
  <c r="H219"/>
  <c r="S104"/>
  <c r="J219"/>
  <c r="K219"/>
  <c r="L219"/>
  <c r="R217"/>
  <c r="S217"/>
  <c r="G108" i="2"/>
  <c r="E102" i="3"/>
  <c r="J107" i="2"/>
  <c r="R218" i="3"/>
  <c r="L107" i="2"/>
  <c r="I108"/>
  <c r="K108"/>
  <c r="H108"/>
  <c r="F102" i="3"/>
  <c r="H102"/>
  <c r="N65"/>
  <c r="AD102"/>
  <c r="G102"/>
  <c r="AG102"/>
  <c r="I101"/>
  <c r="J101"/>
  <c r="M107" i="2"/>
  <c r="N107"/>
  <c r="L101" i="3"/>
  <c r="AE101"/>
  <c r="K101"/>
  <c r="D217"/>
  <c r="G217"/>
  <c r="F217"/>
  <c r="Q64"/>
  <c r="E216"/>
  <c r="X109" i="2"/>
  <c r="Y109"/>
  <c r="AB109"/>
  <c r="C107" i="3"/>
  <c r="AF106"/>
  <c r="C221"/>
  <c r="AA106"/>
  <c r="U106"/>
  <c r="V106"/>
  <c r="D106"/>
  <c r="M106"/>
  <c r="U112" i="2"/>
  <c r="V112"/>
  <c r="AA112"/>
  <c r="C113"/>
  <c r="D112"/>
  <c r="E112"/>
  <c r="X103" i="3"/>
  <c r="Y103"/>
  <c r="AB103"/>
  <c r="S218"/>
  <c r="D218"/>
  <c r="I219"/>
  <c r="N219"/>
  <c r="O104"/>
  <c r="P104"/>
  <c r="Q104"/>
  <c r="AC104"/>
  <c r="W104"/>
  <c r="O219"/>
  <c r="M219"/>
  <c r="N105"/>
  <c r="R105"/>
  <c r="P220"/>
  <c r="H220"/>
  <c r="T105"/>
  <c r="Q220"/>
  <c r="S105"/>
  <c r="J220"/>
  <c r="K220"/>
  <c r="L220"/>
  <c r="O110" i="2"/>
  <c r="P110"/>
  <c r="Q110"/>
  <c r="AC110"/>
  <c r="W110"/>
  <c r="F111"/>
  <c r="R111"/>
  <c r="T111"/>
  <c r="S111"/>
  <c r="G109"/>
  <c r="E103" i="3"/>
  <c r="J108" i="2"/>
  <c r="R219" i="3"/>
  <c r="S219"/>
  <c r="D219"/>
  <c r="K102"/>
  <c r="L108" i="2"/>
  <c r="L102" i="3"/>
  <c r="F218"/>
  <c r="F103"/>
  <c r="H103"/>
  <c r="N66"/>
  <c r="AD103"/>
  <c r="G103"/>
  <c r="AG103"/>
  <c r="I109" i="2"/>
  <c r="K109"/>
  <c r="H109"/>
  <c r="I102" i="3"/>
  <c r="J102"/>
  <c r="AE102"/>
  <c r="M108" i="2"/>
  <c r="N108"/>
  <c r="O111"/>
  <c r="P111"/>
  <c r="Q111"/>
  <c r="W111"/>
  <c r="AC111"/>
  <c r="X110"/>
  <c r="Y110"/>
  <c r="AB110"/>
  <c r="Q66" i="3"/>
  <c r="E218"/>
  <c r="F112" i="2"/>
  <c r="R112"/>
  <c r="T112"/>
  <c r="S112"/>
  <c r="G218" i="3"/>
  <c r="O220"/>
  <c r="M220"/>
  <c r="AA113" i="2"/>
  <c r="C114"/>
  <c r="U113"/>
  <c r="V113"/>
  <c r="D113"/>
  <c r="E113"/>
  <c r="Q65" i="3"/>
  <c r="E217"/>
  <c r="C108"/>
  <c r="AF107"/>
  <c r="C222"/>
  <c r="AA107"/>
  <c r="U107"/>
  <c r="V107"/>
  <c r="D107"/>
  <c r="M107"/>
  <c r="I220"/>
  <c r="N220"/>
  <c r="O105"/>
  <c r="P105"/>
  <c r="Q105"/>
  <c r="AC105"/>
  <c r="W105"/>
  <c r="X104"/>
  <c r="Y104"/>
  <c r="AB104"/>
  <c r="H221"/>
  <c r="T106"/>
  <c r="Q221"/>
  <c r="N106"/>
  <c r="R106"/>
  <c r="P221"/>
  <c r="S106"/>
  <c r="J221"/>
  <c r="K221"/>
  <c r="L221"/>
  <c r="G110" i="2"/>
  <c r="E104" i="3"/>
  <c r="J109" i="2"/>
  <c r="K103" i="3"/>
  <c r="R220"/>
  <c r="S220"/>
  <c r="D220"/>
  <c r="L103"/>
  <c r="AD104"/>
  <c r="F104"/>
  <c r="H104"/>
  <c r="N67"/>
  <c r="G104"/>
  <c r="AG104"/>
  <c r="I110" i="2"/>
  <c r="K110"/>
  <c r="H110"/>
  <c r="L109"/>
  <c r="AE103" i="3"/>
  <c r="I103"/>
  <c r="J103"/>
  <c r="M109" i="2"/>
  <c r="N109"/>
  <c r="O221" i="3"/>
  <c r="M221"/>
  <c r="I221"/>
  <c r="N221"/>
  <c r="O106"/>
  <c r="P106"/>
  <c r="Q106"/>
  <c r="AC106"/>
  <c r="W106"/>
  <c r="F113" i="2"/>
  <c r="R113"/>
  <c r="T113"/>
  <c r="S113"/>
  <c r="F219" i="3"/>
  <c r="G219"/>
  <c r="Q67"/>
  <c r="E219"/>
  <c r="C109"/>
  <c r="AF108"/>
  <c r="C223"/>
  <c r="AA108"/>
  <c r="U108"/>
  <c r="V108"/>
  <c r="D108"/>
  <c r="M108"/>
  <c r="U114" i="2"/>
  <c r="V114"/>
  <c r="AA114"/>
  <c r="C115"/>
  <c r="D114"/>
  <c r="E114"/>
  <c r="X105" i="3"/>
  <c r="Y105"/>
  <c r="AB105"/>
  <c r="T107"/>
  <c r="Q222"/>
  <c r="N107"/>
  <c r="R107"/>
  <c r="P222"/>
  <c r="H222"/>
  <c r="S107"/>
  <c r="J222"/>
  <c r="K222"/>
  <c r="L222"/>
  <c r="O112" i="2"/>
  <c r="P112"/>
  <c r="Q112"/>
  <c r="AC112"/>
  <c r="W112"/>
  <c r="AB111"/>
  <c r="X111"/>
  <c r="Y111"/>
  <c r="G111"/>
  <c r="E105" i="3"/>
  <c r="R221"/>
  <c r="S221"/>
  <c r="D221"/>
  <c r="AE104"/>
  <c r="J110" i="2"/>
  <c r="L110"/>
  <c r="AD105" i="3"/>
  <c r="F105"/>
  <c r="H105"/>
  <c r="N68"/>
  <c r="G105"/>
  <c r="AG105"/>
  <c r="I111" i="2"/>
  <c r="K111"/>
  <c r="H111"/>
  <c r="I104" i="3"/>
  <c r="J104"/>
  <c r="L104"/>
  <c r="M110" i="2"/>
  <c r="N110"/>
  <c r="K104" i="3"/>
  <c r="I222"/>
  <c r="N222"/>
  <c r="O107"/>
  <c r="P107"/>
  <c r="Q107"/>
  <c r="AC107"/>
  <c r="W107"/>
  <c r="T108"/>
  <c r="Q223"/>
  <c r="N108"/>
  <c r="R108"/>
  <c r="P223"/>
  <c r="H223"/>
  <c r="S108"/>
  <c r="O222"/>
  <c r="M222"/>
  <c r="F114" i="2"/>
  <c r="R114"/>
  <c r="T114"/>
  <c r="S114"/>
  <c r="F220" i="3"/>
  <c r="G220"/>
  <c r="AA115" i="2"/>
  <c r="C116"/>
  <c r="U115"/>
  <c r="V115"/>
  <c r="D115"/>
  <c r="E115"/>
  <c r="C110" i="3"/>
  <c r="AF109"/>
  <c r="C224"/>
  <c r="AA109"/>
  <c r="U109"/>
  <c r="V109"/>
  <c r="D109"/>
  <c r="M109"/>
  <c r="X106"/>
  <c r="Y106"/>
  <c r="AB106"/>
  <c r="R222"/>
  <c r="AB112" i="2"/>
  <c r="X112"/>
  <c r="Y112"/>
  <c r="Q68" i="3"/>
  <c r="E220"/>
  <c r="J223"/>
  <c r="K223"/>
  <c r="L223"/>
  <c r="O113" i="2"/>
  <c r="P113"/>
  <c r="Q113"/>
  <c r="W113"/>
  <c r="AC113"/>
  <c r="E106" i="3"/>
  <c r="G112" i="2"/>
  <c r="J111"/>
  <c r="K105" i="3"/>
  <c r="L105"/>
  <c r="F221"/>
  <c r="F106"/>
  <c r="H106"/>
  <c r="N69"/>
  <c r="AD106"/>
  <c r="G106"/>
  <c r="AG106"/>
  <c r="I112" i="2"/>
  <c r="K112"/>
  <c r="H112"/>
  <c r="L111"/>
  <c r="AE105" i="3"/>
  <c r="I105"/>
  <c r="J105"/>
  <c r="M111" i="2"/>
  <c r="N111"/>
  <c r="AB113"/>
  <c r="X113"/>
  <c r="Y113"/>
  <c r="N109" i="3"/>
  <c r="R109"/>
  <c r="P224"/>
  <c r="H224"/>
  <c r="T109"/>
  <c r="Q224"/>
  <c r="S109"/>
  <c r="J224"/>
  <c r="K224"/>
  <c r="L224"/>
  <c r="S222"/>
  <c r="G221"/>
  <c r="M223"/>
  <c r="O223"/>
  <c r="F115" i="2"/>
  <c r="R115"/>
  <c r="T115"/>
  <c r="S115"/>
  <c r="O114"/>
  <c r="P114"/>
  <c r="Q114"/>
  <c r="AC114"/>
  <c r="W114"/>
  <c r="Q69" i="3"/>
  <c r="E221"/>
  <c r="AF110"/>
  <c r="C225"/>
  <c r="AA110"/>
  <c r="D110"/>
  <c r="M110"/>
  <c r="U110"/>
  <c r="V110"/>
  <c r="U116" i="2"/>
  <c r="V116"/>
  <c r="AA116"/>
  <c r="C117"/>
  <c r="D116"/>
  <c r="E116"/>
  <c r="I223" i="3"/>
  <c r="N223"/>
  <c r="O108"/>
  <c r="P108"/>
  <c r="Q108"/>
  <c r="AC108"/>
  <c r="W108"/>
  <c r="X107"/>
  <c r="Y107"/>
  <c r="AB107"/>
  <c r="G113" i="2"/>
  <c r="E107" i="3"/>
  <c r="L112" i="2"/>
  <c r="M112"/>
  <c r="N112"/>
  <c r="K113"/>
  <c r="I113"/>
  <c r="H113"/>
  <c r="F107" i="3"/>
  <c r="H107"/>
  <c r="N70"/>
  <c r="AD107"/>
  <c r="G107"/>
  <c r="AG107"/>
  <c r="J112" i="2"/>
  <c r="L106" i="3"/>
  <c r="K106"/>
  <c r="AE106"/>
  <c r="I106"/>
  <c r="J106"/>
  <c r="M224"/>
  <c r="O224"/>
  <c r="X108"/>
  <c r="Y108"/>
  <c r="AB108"/>
  <c r="X114" i="2"/>
  <c r="Y114"/>
  <c r="AB114"/>
  <c r="R223" i="3"/>
  <c r="S223"/>
  <c r="D223"/>
  <c r="J225"/>
  <c r="K225"/>
  <c r="L225"/>
  <c r="U117" i="2"/>
  <c r="V117"/>
  <c r="AA117"/>
  <c r="D117"/>
  <c r="E117"/>
  <c r="D222" i="3"/>
  <c r="G222"/>
  <c r="I224"/>
  <c r="N224"/>
  <c r="O109"/>
  <c r="P109"/>
  <c r="Q109"/>
  <c r="W109"/>
  <c r="AC109"/>
  <c r="O115" i="2"/>
  <c r="P115"/>
  <c r="Q115"/>
  <c r="W115"/>
  <c r="AC115"/>
  <c r="F116"/>
  <c r="R116"/>
  <c r="T116"/>
  <c r="S116"/>
  <c r="H225" i="3"/>
  <c r="T110"/>
  <c r="Q225"/>
  <c r="N110"/>
  <c r="R110"/>
  <c r="P225"/>
  <c r="S110"/>
  <c r="F222"/>
  <c r="G114" i="2"/>
  <c r="E108" i="3"/>
  <c r="L107"/>
  <c r="F223"/>
  <c r="M113" i="2"/>
  <c r="N113"/>
  <c r="AE107" i="3"/>
  <c r="F108"/>
  <c r="H108"/>
  <c r="N71"/>
  <c r="AD108"/>
  <c r="G108"/>
  <c r="AG108"/>
  <c r="K114" i="2"/>
  <c r="I114"/>
  <c r="H114"/>
  <c r="K107" i="3"/>
  <c r="L113" i="2"/>
  <c r="J107" i="3"/>
  <c r="I107"/>
  <c r="J113" i="2"/>
  <c r="X109" i="3"/>
  <c r="Y109"/>
  <c r="AB109"/>
  <c r="Q70"/>
  <c r="E222"/>
  <c r="G223"/>
  <c r="AB115" i="2"/>
  <c r="X115"/>
  <c r="Y115"/>
  <c r="F117"/>
  <c r="R117"/>
  <c r="T117"/>
  <c r="S117"/>
  <c r="M225" i="3"/>
  <c r="O225"/>
  <c r="R224"/>
  <c r="S224"/>
  <c r="O116" i="2"/>
  <c r="P116"/>
  <c r="Q116"/>
  <c r="AC116"/>
  <c r="W116"/>
  <c r="I225" i="3"/>
  <c r="N225"/>
  <c r="O110"/>
  <c r="P110"/>
  <c r="Q110"/>
  <c r="W110"/>
  <c r="AC110"/>
  <c r="Q71"/>
  <c r="E223"/>
  <c r="G115" i="2"/>
  <c r="E109" i="3"/>
  <c r="J114" i="2"/>
  <c r="L114"/>
  <c r="I115"/>
  <c r="K115"/>
  <c r="H115"/>
  <c r="F109" i="3"/>
  <c r="H109"/>
  <c r="N72"/>
  <c r="AD109"/>
  <c r="G109"/>
  <c r="AG109"/>
  <c r="AE108"/>
  <c r="J108"/>
  <c r="I108"/>
  <c r="L108"/>
  <c r="M114" i="2"/>
  <c r="N114"/>
  <c r="K108" i="3"/>
  <c r="D224"/>
  <c r="F224"/>
  <c r="G224"/>
  <c r="X110"/>
  <c r="Y110"/>
  <c r="AB110"/>
  <c r="R225"/>
  <c r="S225"/>
  <c r="O117" i="2"/>
  <c r="P117"/>
  <c r="Q117"/>
  <c r="AC117"/>
  <c r="W117"/>
  <c r="AB116"/>
  <c r="X116"/>
  <c r="Y116"/>
  <c r="G116"/>
  <c r="E110" i="3"/>
  <c r="J115" i="2"/>
  <c r="I116"/>
  <c r="K116"/>
  <c r="H116"/>
  <c r="F110" i="3"/>
  <c r="H110"/>
  <c r="N73"/>
  <c r="AD110"/>
  <c r="G110"/>
  <c r="AG110"/>
  <c r="K109"/>
  <c r="L109"/>
  <c r="L115" i="2"/>
  <c r="AE109" i="3"/>
  <c r="M115" i="2"/>
  <c r="N115"/>
  <c r="I109" i="3"/>
  <c r="J109"/>
  <c r="D225"/>
  <c r="F225"/>
  <c r="G225"/>
  <c r="X117" i="2"/>
  <c r="Y117"/>
  <c r="AB117"/>
  <c r="Q72" i="3"/>
  <c r="E224"/>
  <c r="G117" i="2"/>
  <c r="M116"/>
  <c r="N116"/>
  <c r="L116"/>
  <c r="K110" i="3"/>
  <c r="K117" i="2"/>
  <c r="I117"/>
  <c r="H117"/>
  <c r="J116"/>
  <c r="I110" i="3"/>
  <c r="J110"/>
  <c r="L110"/>
  <c r="AE110"/>
  <c r="Q73"/>
  <c r="E225"/>
  <c r="L117" i="2"/>
  <c r="M117"/>
  <c r="N117"/>
  <c r="J117"/>
</calcChain>
</file>

<file path=xl/sharedStrings.xml><?xml version="1.0" encoding="utf-8"?>
<sst xmlns="http://schemas.openxmlformats.org/spreadsheetml/2006/main" count="865" uniqueCount="522">
  <si>
    <t>Example of a recommended transformer design.  Use multiple strand wire to distribute each of the coils across the layer.</t>
  </si>
  <si>
    <t>For more information refer to: http://focus.ti.com/lit/an/slua418/slua418.pdf</t>
  </si>
  <si>
    <r>
      <t>Q</t>
    </r>
    <r>
      <rPr>
        <vertAlign val="subscript"/>
        <sz val="10"/>
        <rFont val="Arial"/>
        <family val="2"/>
      </rPr>
      <t>g</t>
    </r>
  </si>
  <si>
    <t>C</t>
  </si>
  <si>
    <r>
      <t xml:space="preserve">- </t>
    </r>
    <r>
      <rPr>
        <b/>
        <sz val="10"/>
        <rFont val="Arial"/>
        <family val="2"/>
      </rPr>
      <t>Q</t>
    </r>
    <r>
      <rPr>
        <b/>
        <vertAlign val="subscript"/>
        <sz val="10"/>
        <rFont val="Arial"/>
        <family val="2"/>
      </rPr>
      <t>g</t>
    </r>
    <r>
      <rPr>
        <sz val="10"/>
        <rFont val="Arial"/>
        <family val="2"/>
      </rPr>
      <t xml:space="preserve"> is the total gate charge of the chosen MOSFET as stated in the MOSFET data sheet (enter, in Cou;ombs, in cell C37).</t>
    </r>
  </si>
  <si>
    <t>Magnetizing Inductance:</t>
  </si>
  <si>
    <t>Maximum Leakage Inductance:</t>
  </si>
  <si>
    <r>
      <t>V</t>
    </r>
    <r>
      <rPr>
        <vertAlign val="subscript"/>
        <sz val="10"/>
        <rFont val="Arial"/>
        <family val="2"/>
      </rPr>
      <t>BIAS</t>
    </r>
    <r>
      <rPr>
        <sz val="10"/>
        <rFont val="Arial"/>
        <family val="2"/>
      </rPr>
      <t xml:space="preserve"> at full load </t>
    </r>
  </si>
  <si>
    <r>
      <t xml:space="preserve">- </t>
    </r>
    <r>
      <rPr>
        <b/>
        <sz val="10"/>
        <rFont val="Arial"/>
        <family val="2"/>
      </rPr>
      <t>V</t>
    </r>
    <r>
      <rPr>
        <b/>
        <vertAlign val="subscript"/>
        <sz val="10"/>
        <rFont val="Arial"/>
        <family val="2"/>
      </rPr>
      <t>BIAS</t>
    </r>
    <r>
      <rPr>
        <sz val="10"/>
        <rFont val="Arial"/>
        <family val="2"/>
      </rPr>
      <t xml:space="preserve"> is the output of the Aux winding of the Flyback Transformer, used to BIAS the UCC28600 and, if used, also the PFC controller. V</t>
    </r>
    <r>
      <rPr>
        <vertAlign val="subscript"/>
        <sz val="10"/>
        <rFont val="Arial"/>
        <family val="2"/>
      </rPr>
      <t>BIAS</t>
    </r>
    <r>
      <rPr>
        <sz val="10"/>
        <rFont val="Arial"/>
        <family val="2"/>
      </rPr>
      <t xml:space="preserve"> must be equal to the maximum UVLO stop threshold of the UCC28600 (equal to 9.3V) or the maximum start up voltage of the PFC controller, whichever is greater.  (enter, in Volts, in cell C25)</t>
    </r>
  </si>
  <si>
    <t>GENERAL:</t>
  </si>
  <si>
    <t>INPUT:</t>
  </si>
  <si>
    <r>
      <t>-</t>
    </r>
    <r>
      <rPr>
        <b/>
        <sz val="10"/>
        <rFont val="Arial"/>
        <family val="2"/>
      </rPr>
      <t xml:space="preserve"> I</t>
    </r>
    <r>
      <rPr>
        <b/>
        <vertAlign val="subscript"/>
        <sz val="10"/>
        <rFont val="Arial"/>
        <family val="2"/>
      </rPr>
      <t>SEC(rms)</t>
    </r>
    <r>
      <rPr>
        <vertAlign val="subscript"/>
        <sz val="10"/>
        <rFont val="Arial"/>
        <family val="2"/>
      </rPr>
      <t xml:space="preserve"> </t>
    </r>
    <r>
      <rPr>
        <sz val="10"/>
        <rFont val="Arial"/>
        <family val="2"/>
      </rPr>
      <t>@ low line</t>
    </r>
    <r>
      <rPr>
        <vertAlign val="subscript"/>
        <sz val="10"/>
        <rFont val="Arial"/>
        <family val="2"/>
      </rPr>
      <t xml:space="preserve"> </t>
    </r>
    <r>
      <rPr>
        <sz val="10"/>
        <rFont val="Arial"/>
        <family val="2"/>
      </rPr>
      <t>is the maximum secondary side rms current at low line for designs without a PFC front end</t>
    </r>
  </si>
  <si>
    <r>
      <t xml:space="preserve">Design Simulation - type in the </t>
    </r>
    <r>
      <rPr>
        <b/>
        <sz val="16"/>
        <color indexed="12"/>
        <rFont val="Arial"/>
        <family val="2"/>
      </rPr>
      <t>blue data</t>
    </r>
    <r>
      <rPr>
        <b/>
        <sz val="16"/>
        <rFont val="Arial"/>
        <family val="2"/>
      </rPr>
      <t xml:space="preserve"> and it responds with the </t>
    </r>
    <r>
      <rPr>
        <b/>
        <sz val="16"/>
        <color indexed="10"/>
        <rFont val="Arial"/>
        <family val="2"/>
      </rPr>
      <t>red data</t>
    </r>
    <r>
      <rPr>
        <b/>
        <sz val="16"/>
        <rFont val="Arial"/>
        <family val="2"/>
      </rPr>
      <t>.</t>
    </r>
  </si>
  <si>
    <t>Ts</t>
  </si>
  <si>
    <t>a</t>
  </si>
  <si>
    <t>b</t>
  </si>
  <si>
    <t>UCC28600 Design Spreadsheet</t>
  </si>
  <si>
    <t>Converter Requirements</t>
  </si>
  <si>
    <t>efficiency ratio</t>
  </si>
  <si>
    <t>Co', F-sqrt(V)</t>
  </si>
  <si>
    <t>Transformer Estimates</t>
  </si>
  <si>
    <t>Leakage to magnetizing inductance %</t>
  </si>
  <si>
    <t>Leakage to magnetizing inductance ratio</t>
  </si>
  <si>
    <t>Diode Estimates</t>
  </si>
  <si>
    <t>Resulting Converter Features</t>
  </si>
  <si>
    <t>resonant</t>
  </si>
  <si>
    <t>ZVS ?</t>
  </si>
  <si>
    <t>Cds, total</t>
  </si>
  <si>
    <t>f, reset, Hz</t>
  </si>
  <si>
    <t>seconds</t>
  </si>
  <si>
    <t>Amps</t>
  </si>
  <si>
    <t>Volts</t>
  </si>
  <si>
    <t>Tzv</t>
  </si>
  <si>
    <t>resonant leakage</t>
  </si>
  <si>
    <t>time TL1=Tr / (2pi)</t>
  </si>
  <si>
    <t>Ip1</t>
  </si>
  <si>
    <t>TS1</t>
  </si>
  <si>
    <t>Total L input</t>
  </si>
  <si>
    <t>TL2</t>
  </si>
  <si>
    <t>TE1</t>
  </si>
  <si>
    <t>Ip2</t>
  </si>
  <si>
    <t>c</t>
  </si>
  <si>
    <t>d</t>
  </si>
  <si>
    <t>Ton</t>
  </si>
  <si>
    <t>UCC28600 Analysis Spreadsheet</t>
  </si>
  <si>
    <t>Total L, primary</t>
  </si>
  <si>
    <t>Tdmag</t>
  </si>
  <si>
    <t>D1, actual</t>
  </si>
  <si>
    <t>Vac, equiv</t>
  </si>
  <si>
    <t>ZVS?</t>
  </si>
  <si>
    <t>resonant leakage time TL1=Tr/2pi</t>
  </si>
  <si>
    <t>resonant f, reset, Hz</t>
  </si>
  <si>
    <t>Pload</t>
  </si>
  <si>
    <t>Ip,mx</t>
  </si>
  <si>
    <t>Ip, actual qr</t>
  </si>
  <si>
    <t>Ts, actual qr</t>
  </si>
  <si>
    <t>Mode</t>
  </si>
  <si>
    <t>fs, actual qr</t>
  </si>
  <si>
    <t>Ton, actual qr</t>
  </si>
  <si>
    <t>Ts actual</t>
  </si>
  <si>
    <t>fs, FFB</t>
  </si>
  <si>
    <t>Summary of Ideal Converter Components</t>
  </si>
  <si>
    <t>Xfmr</t>
  </si>
  <si>
    <t>Output Capacitor</t>
  </si>
  <si>
    <t>Output Diode</t>
  </si>
  <si>
    <t>R current sense</t>
  </si>
  <si>
    <t>Transformer Data</t>
  </si>
  <si>
    <t>UCC28600 Parameters</t>
  </si>
  <si>
    <t>Ip</t>
  </si>
  <si>
    <t>Ics, pl</t>
  </si>
  <si>
    <t>maximum power</t>
  </si>
  <si>
    <t>OVP</t>
  </si>
  <si>
    <t>D</t>
  </si>
  <si>
    <t>Load step, Watts</t>
  </si>
  <si>
    <t>ESR, max</t>
  </si>
  <si>
    <t>Soft Start</t>
  </si>
  <si>
    <t>always no-load start?</t>
  </si>
  <si>
    <t>Soft start</t>
  </si>
  <si>
    <t>Sense Resistors &amp; Power Limit</t>
  </si>
  <si>
    <t>R power limit</t>
  </si>
  <si>
    <t>Min line</t>
  </si>
  <si>
    <t>Vcs,mx if QR</t>
  </si>
  <si>
    <t>rms current rating @ low line</t>
  </si>
  <si>
    <t>rms current rating @ high line</t>
  </si>
  <si>
    <t>Ip/Ipmx</t>
  </si>
  <si>
    <t>Max line</t>
  </si>
  <si>
    <t>Ics,pl x Rpl</t>
  </si>
  <si>
    <t>T leakage</t>
  </si>
  <si>
    <t>residue demag I Amps</t>
  </si>
  <si>
    <t>Tvalley</t>
  </si>
  <si>
    <t>P(burst boundary)</t>
  </si>
  <si>
    <t>MOSFET Specifications</t>
  </si>
  <si>
    <t>© 2005</t>
  </si>
  <si>
    <t>Rev. 1.0</t>
  </si>
  <si>
    <t>This worksheet is designed for use with Microsoft Excel 5.0 or later.  Its use is intended to assist power supply designers in their</t>
  </si>
  <si>
    <t>routine, day-to-day calculations.</t>
  </si>
  <si>
    <t>Disclaimer</t>
  </si>
  <si>
    <t>This product is designed as an aid for customers of Texas Instruments.  No warranties, either express</t>
  </si>
  <si>
    <t>or implied, with respect to this software or its fitness for any particular purpose is claimed by Texas</t>
  </si>
  <si>
    <t>Instruments or the author.  The software is licensed solely on an "as is" basis.  The entire risk as to its</t>
  </si>
  <si>
    <t>quality and performance is with the customer.</t>
  </si>
  <si>
    <t xml:space="preserve"> Component values are calculated as ideal, not to nearest production values</t>
  </si>
  <si>
    <t>Actual derating %</t>
  </si>
  <si>
    <t>QR Design Tool Instructions</t>
  </si>
  <si>
    <t>After entering the final values, examine the operating maps.  They reveal the boundaries of the different modes of operation.  The operating maps portray the power levels, peak switch currents, feed back voltages and switching frequencies for the full array of line voltages and loads that the converter would experience.  These maps can be used to explore design alternatives, such as different current sense resistor values, different transformers, etc.  For example, it might be desirable to change the power level where burst mode occurs in order to avoid audio noise at a common load operating point.  The QR Simulator worksheet also shows rms currents, whether the converter is in power limit, the operational mode among other potentially useful data that can be used to optimize the converter performance in a specific power system.</t>
  </si>
  <si>
    <t>Designing with the UCC28600 Quasi-Resonant Flyback Converter</t>
  </si>
  <si>
    <t xml:space="preserve"> </t>
  </si>
  <si>
    <t>W</t>
  </si>
  <si>
    <t>VAC</t>
  </si>
  <si>
    <t>%</t>
  </si>
  <si>
    <t>VDC</t>
  </si>
  <si>
    <t>V</t>
  </si>
  <si>
    <t>Hz</t>
  </si>
  <si>
    <t>V, minus ripple</t>
  </si>
  <si>
    <t>s</t>
  </si>
  <si>
    <t>V, plus ripple</t>
  </si>
  <si>
    <t>F</t>
  </si>
  <si>
    <t>%mag Ind</t>
  </si>
  <si>
    <t>A, Line OVP typical value in data sheet</t>
  </si>
  <si>
    <t>V, Load OVP typical value in data sheet</t>
  </si>
  <si>
    <t>H</t>
  </si>
  <si>
    <t>turns ratio</t>
  </si>
  <si>
    <t>A</t>
  </si>
  <si>
    <t>A, rms</t>
  </si>
  <si>
    <t>Internal IC parameters</t>
  </si>
  <si>
    <r>
      <t>P</t>
    </r>
    <r>
      <rPr>
        <vertAlign val="subscript"/>
        <sz val="10"/>
        <rFont val="Arial"/>
        <family val="2"/>
      </rPr>
      <t>IN</t>
    </r>
  </si>
  <si>
    <r>
      <t>V</t>
    </r>
    <r>
      <rPr>
        <vertAlign val="subscript"/>
        <sz val="10"/>
        <rFont val="Arial"/>
        <family val="2"/>
      </rPr>
      <t>DS</t>
    </r>
    <r>
      <rPr>
        <sz val="10"/>
        <rFont val="Arial"/>
        <family val="2"/>
      </rPr>
      <t xml:space="preserve"> derate %</t>
    </r>
  </si>
  <si>
    <r>
      <t>V</t>
    </r>
    <r>
      <rPr>
        <vertAlign val="subscript"/>
        <sz val="10"/>
        <rFont val="Arial"/>
        <family val="2"/>
      </rPr>
      <t>DS(max)</t>
    </r>
    <r>
      <rPr>
        <sz val="10"/>
        <rFont val="Arial"/>
        <family val="2"/>
      </rPr>
      <t xml:space="preserve"> limit</t>
    </r>
  </si>
  <si>
    <r>
      <t>V</t>
    </r>
    <r>
      <rPr>
        <vertAlign val="subscript"/>
        <sz val="10"/>
        <rFont val="Arial"/>
        <family val="2"/>
      </rPr>
      <t>DS(max)</t>
    </r>
    <r>
      <rPr>
        <sz val="10"/>
        <rFont val="Arial"/>
        <family val="2"/>
      </rPr>
      <t xml:space="preserve"> rating</t>
    </r>
  </si>
  <si>
    <r>
      <t>C</t>
    </r>
    <r>
      <rPr>
        <vertAlign val="subscript"/>
        <sz val="10"/>
        <rFont val="Arial"/>
        <family val="2"/>
      </rPr>
      <t>OSS</t>
    </r>
    <r>
      <rPr>
        <sz val="10"/>
        <rFont val="Arial"/>
        <family val="2"/>
      </rPr>
      <t xml:space="preserve"> estimate, at V</t>
    </r>
    <r>
      <rPr>
        <vertAlign val="subscript"/>
        <sz val="10"/>
        <rFont val="Arial"/>
        <family val="2"/>
      </rPr>
      <t>DS</t>
    </r>
    <r>
      <rPr>
        <sz val="10"/>
        <rFont val="Arial"/>
        <family val="2"/>
      </rPr>
      <t xml:space="preserve"> = 25 V</t>
    </r>
  </si>
  <si>
    <r>
      <t>V</t>
    </r>
    <r>
      <rPr>
        <vertAlign val="subscript"/>
        <sz val="10"/>
        <rFont val="Arial"/>
        <family val="2"/>
      </rPr>
      <t>DS</t>
    </r>
    <r>
      <rPr>
        <sz val="10"/>
        <rFont val="Arial"/>
        <family val="2"/>
      </rPr>
      <t xml:space="preserve"> test V</t>
    </r>
  </si>
  <si>
    <r>
      <t>V</t>
    </r>
    <r>
      <rPr>
        <vertAlign val="subscript"/>
        <sz val="10"/>
        <rFont val="Arial"/>
        <family val="2"/>
      </rPr>
      <t>XFMR</t>
    </r>
    <r>
      <rPr>
        <sz val="10"/>
        <rFont val="Arial"/>
        <family val="2"/>
      </rPr>
      <t>, reflect</t>
    </r>
  </si>
  <si>
    <r>
      <t>R</t>
    </r>
    <r>
      <rPr>
        <vertAlign val="subscript"/>
        <sz val="10"/>
        <rFont val="Arial"/>
        <family val="2"/>
      </rPr>
      <t>OVP1</t>
    </r>
  </si>
  <si>
    <r>
      <t>R</t>
    </r>
    <r>
      <rPr>
        <vertAlign val="subscript"/>
        <sz val="10"/>
        <rFont val="Arial"/>
        <family val="2"/>
      </rPr>
      <t>OVP2</t>
    </r>
  </si>
  <si>
    <r>
      <t>Recommended V</t>
    </r>
    <r>
      <rPr>
        <vertAlign val="subscript"/>
        <sz val="10"/>
        <rFont val="Arial"/>
        <family val="2"/>
      </rPr>
      <t>XFMR</t>
    </r>
    <r>
      <rPr>
        <sz val="10"/>
        <rFont val="Arial"/>
        <family val="2"/>
      </rPr>
      <t>, reflect</t>
    </r>
  </si>
  <si>
    <r>
      <t>V</t>
    </r>
    <r>
      <rPr>
        <vertAlign val="subscript"/>
        <sz val="10"/>
        <rFont val="Arial"/>
        <family val="2"/>
      </rPr>
      <t>BULK(min_pk)</t>
    </r>
  </si>
  <si>
    <r>
      <t>V</t>
    </r>
    <r>
      <rPr>
        <vertAlign val="subscript"/>
        <sz val="10"/>
        <rFont val="Arial"/>
        <family val="2"/>
      </rPr>
      <t>BULK(min_valley)</t>
    </r>
  </si>
  <si>
    <r>
      <t>V</t>
    </r>
    <r>
      <rPr>
        <vertAlign val="subscript"/>
        <sz val="10"/>
        <rFont val="Arial"/>
        <family val="2"/>
      </rPr>
      <t>BULK(max_pk)</t>
    </r>
  </si>
  <si>
    <r>
      <t>V</t>
    </r>
    <r>
      <rPr>
        <vertAlign val="subscript"/>
        <sz val="10"/>
        <rFont val="Arial"/>
        <family val="2"/>
      </rPr>
      <t>BULK(shutdown)</t>
    </r>
  </si>
  <si>
    <r>
      <t>T</t>
    </r>
    <r>
      <rPr>
        <vertAlign val="subscript"/>
        <sz val="10"/>
        <rFont val="Arial"/>
        <family val="2"/>
      </rPr>
      <t>S(min)</t>
    </r>
  </si>
  <si>
    <r>
      <t>V</t>
    </r>
    <r>
      <rPr>
        <vertAlign val="subscript"/>
        <sz val="10"/>
        <rFont val="Arial"/>
        <family val="2"/>
      </rPr>
      <t>AC</t>
    </r>
  </si>
  <si>
    <r>
      <t>P</t>
    </r>
    <r>
      <rPr>
        <vertAlign val="subscript"/>
        <sz val="10"/>
        <rFont val="Arial"/>
        <family val="2"/>
      </rPr>
      <t>OUT</t>
    </r>
  </si>
  <si>
    <r>
      <t>P</t>
    </r>
    <r>
      <rPr>
        <vertAlign val="subscript"/>
        <sz val="10"/>
        <rFont val="Arial"/>
        <family val="2"/>
      </rPr>
      <t>OUT</t>
    </r>
    <r>
      <rPr>
        <sz val="10"/>
        <rFont val="Arial"/>
        <family val="2"/>
      </rPr>
      <t>, during soft start</t>
    </r>
  </si>
  <si>
    <t>Efficiency ratio</t>
  </si>
  <si>
    <r>
      <t>V</t>
    </r>
    <r>
      <rPr>
        <vertAlign val="subscript"/>
        <sz val="10"/>
        <rFont val="Arial"/>
        <family val="2"/>
      </rPr>
      <t>AC(min)</t>
    </r>
  </si>
  <si>
    <r>
      <t>V</t>
    </r>
    <r>
      <rPr>
        <vertAlign val="subscript"/>
        <sz val="10"/>
        <rFont val="Arial"/>
        <family val="2"/>
      </rPr>
      <t>AC(max)</t>
    </r>
  </si>
  <si>
    <r>
      <t>V</t>
    </r>
    <r>
      <rPr>
        <vertAlign val="subscript"/>
        <sz val="10"/>
        <rFont val="Arial"/>
        <family val="2"/>
      </rPr>
      <t>BULK(ripple)</t>
    </r>
    <r>
      <rPr>
        <sz val="10"/>
        <rFont val="Arial"/>
        <family val="2"/>
      </rPr>
      <t>, %pp</t>
    </r>
  </si>
  <si>
    <r>
      <t>V</t>
    </r>
    <r>
      <rPr>
        <vertAlign val="subscript"/>
        <sz val="10"/>
        <rFont val="Arial"/>
        <family val="2"/>
      </rPr>
      <t>AC(max)</t>
    </r>
    <r>
      <rPr>
        <sz val="10"/>
        <rFont val="Arial"/>
        <family val="2"/>
      </rPr>
      <t xml:space="preserve"> shutdown margin %</t>
    </r>
  </si>
  <si>
    <r>
      <t>f</t>
    </r>
    <r>
      <rPr>
        <vertAlign val="subscript"/>
        <sz val="10"/>
        <rFont val="Arial"/>
        <family val="2"/>
      </rPr>
      <t>S(max)</t>
    </r>
  </si>
  <si>
    <r>
      <t>V</t>
    </r>
    <r>
      <rPr>
        <vertAlign val="subscript"/>
        <sz val="10"/>
        <rFont val="Arial"/>
        <family val="2"/>
      </rPr>
      <t>OUT</t>
    </r>
  </si>
  <si>
    <r>
      <t>V</t>
    </r>
    <r>
      <rPr>
        <vertAlign val="subscript"/>
        <sz val="10"/>
        <rFont val="Arial"/>
        <family val="2"/>
      </rPr>
      <t>OUT(ripple)</t>
    </r>
    <r>
      <rPr>
        <sz val="10"/>
        <rFont val="Arial"/>
        <family val="2"/>
      </rPr>
      <t>, max pp</t>
    </r>
  </si>
  <si>
    <r>
      <t>V</t>
    </r>
    <r>
      <rPr>
        <vertAlign val="subscript"/>
        <sz val="10"/>
        <rFont val="Arial"/>
        <family val="2"/>
      </rPr>
      <t>OUT</t>
    </r>
    <r>
      <rPr>
        <sz val="10"/>
        <rFont val="Arial"/>
        <family val="2"/>
      </rPr>
      <t>, shut-down</t>
    </r>
  </si>
  <si>
    <r>
      <t>max dV</t>
    </r>
    <r>
      <rPr>
        <vertAlign val="subscript"/>
        <sz val="10"/>
        <rFont val="Arial"/>
        <family val="2"/>
      </rPr>
      <t>OUT</t>
    </r>
    <r>
      <rPr>
        <sz val="10"/>
        <rFont val="Arial"/>
        <family val="2"/>
      </rPr>
      <t xml:space="preserve"> due to load step</t>
    </r>
  </si>
  <si>
    <r>
      <t>estimated f</t>
    </r>
    <r>
      <rPr>
        <vertAlign val="subscript"/>
        <sz val="10"/>
        <rFont val="Arial"/>
        <family val="2"/>
      </rPr>
      <t>CO</t>
    </r>
    <r>
      <rPr>
        <sz val="10"/>
        <rFont val="Arial"/>
        <family val="2"/>
      </rPr>
      <t>, Hz</t>
    </r>
  </si>
  <si>
    <r>
      <t>V</t>
    </r>
    <r>
      <rPr>
        <vertAlign val="subscript"/>
        <sz val="10"/>
        <rFont val="Arial"/>
        <family val="2"/>
      </rPr>
      <t>BIAS</t>
    </r>
    <r>
      <rPr>
        <sz val="10"/>
        <rFont val="Arial"/>
        <family val="2"/>
      </rPr>
      <t xml:space="preserve"> at full load</t>
    </r>
  </si>
  <si>
    <r>
      <t>Snubber overshoot % of reflected V</t>
    </r>
    <r>
      <rPr>
        <vertAlign val="subscript"/>
        <sz val="10"/>
        <rFont val="Arial"/>
        <family val="2"/>
      </rPr>
      <t>OUT</t>
    </r>
  </si>
  <si>
    <r>
      <t>Actual Power Limit, as Programmed by Actual R</t>
    </r>
    <r>
      <rPr>
        <b/>
        <vertAlign val="subscript"/>
        <sz val="10"/>
        <rFont val="Arial"/>
        <family val="2"/>
      </rPr>
      <t>PL</t>
    </r>
    <r>
      <rPr>
        <b/>
        <sz val="10"/>
        <rFont val="Arial"/>
        <family val="2"/>
      </rPr>
      <t>, R</t>
    </r>
    <r>
      <rPr>
        <b/>
        <vertAlign val="subscript"/>
        <sz val="10"/>
        <rFont val="Arial"/>
        <family val="2"/>
      </rPr>
      <t>OVP1</t>
    </r>
    <r>
      <rPr>
        <b/>
        <sz val="10"/>
        <rFont val="Arial"/>
        <family val="2"/>
      </rPr>
      <t xml:space="preserve"> &amp; R</t>
    </r>
    <r>
      <rPr>
        <b/>
        <vertAlign val="subscript"/>
        <sz val="10"/>
        <rFont val="Arial"/>
        <family val="2"/>
      </rPr>
      <t>OVP2</t>
    </r>
    <r>
      <rPr>
        <b/>
        <sz val="10"/>
        <rFont val="Arial"/>
        <family val="2"/>
      </rPr>
      <t xml:space="preserve"> Values</t>
    </r>
  </si>
  <si>
    <t>Trial</t>
  </si>
  <si>
    <r>
      <t>V</t>
    </r>
    <r>
      <rPr>
        <b/>
        <vertAlign val="subscript"/>
        <sz val="10"/>
        <color indexed="8"/>
        <rFont val="Arial"/>
        <family val="2"/>
      </rPr>
      <t>BULK</t>
    </r>
  </si>
  <si>
    <r>
      <t>f</t>
    </r>
    <r>
      <rPr>
        <b/>
        <vertAlign val="subscript"/>
        <sz val="10"/>
        <color indexed="8"/>
        <rFont val="Arial"/>
        <family val="2"/>
      </rPr>
      <t>S</t>
    </r>
  </si>
  <si>
    <r>
      <t>P</t>
    </r>
    <r>
      <rPr>
        <b/>
        <vertAlign val="subscript"/>
        <sz val="10"/>
        <color indexed="8"/>
        <rFont val="Arial"/>
        <family val="2"/>
      </rPr>
      <t>IN(limit)</t>
    </r>
  </si>
  <si>
    <r>
      <t>I</t>
    </r>
    <r>
      <rPr>
        <b/>
        <vertAlign val="subscript"/>
        <sz val="10"/>
        <color indexed="8"/>
        <rFont val="Arial"/>
        <family val="2"/>
      </rPr>
      <t>PRI(rms)</t>
    </r>
  </si>
  <si>
    <r>
      <t>I</t>
    </r>
    <r>
      <rPr>
        <b/>
        <vertAlign val="subscript"/>
        <sz val="10"/>
        <color indexed="8"/>
        <rFont val="Arial"/>
        <family val="2"/>
      </rPr>
      <t>SEC(rms)</t>
    </r>
  </si>
  <si>
    <r>
      <t>P</t>
    </r>
    <r>
      <rPr>
        <b/>
        <vertAlign val="subscript"/>
        <sz val="10"/>
        <rFont val="Arial"/>
        <family val="2"/>
      </rPr>
      <t>LOAD</t>
    </r>
    <r>
      <rPr>
        <b/>
        <sz val="10"/>
        <rFont val="Arial"/>
        <family val="2"/>
      </rPr>
      <t>/P</t>
    </r>
    <r>
      <rPr>
        <b/>
        <vertAlign val="subscript"/>
        <sz val="10"/>
        <rFont val="Arial"/>
        <family val="2"/>
      </rPr>
      <t>RATED</t>
    </r>
  </si>
  <si>
    <r>
      <t>P</t>
    </r>
    <r>
      <rPr>
        <b/>
        <vertAlign val="subscript"/>
        <sz val="10"/>
        <rFont val="Arial"/>
        <family val="2"/>
      </rPr>
      <t>LINE</t>
    </r>
  </si>
  <si>
    <r>
      <t>I</t>
    </r>
    <r>
      <rPr>
        <b/>
        <vertAlign val="subscript"/>
        <sz val="10"/>
        <rFont val="Arial"/>
        <family val="2"/>
      </rPr>
      <t>P</t>
    </r>
    <r>
      <rPr>
        <b/>
        <sz val="10"/>
        <rFont val="Arial"/>
        <family val="2"/>
      </rPr>
      <t xml:space="preserve"> actual</t>
    </r>
  </si>
  <si>
    <r>
      <t>f</t>
    </r>
    <r>
      <rPr>
        <b/>
        <vertAlign val="subscript"/>
        <sz val="10"/>
        <rFont val="Arial"/>
        <family val="2"/>
      </rPr>
      <t>S</t>
    </r>
    <r>
      <rPr>
        <b/>
        <sz val="10"/>
        <rFont val="Arial"/>
        <family val="2"/>
      </rPr>
      <t xml:space="preserve"> actual</t>
    </r>
  </si>
  <si>
    <r>
      <t>T</t>
    </r>
    <r>
      <rPr>
        <b/>
        <vertAlign val="subscript"/>
        <sz val="10"/>
        <rFont val="Arial"/>
        <family val="2"/>
      </rPr>
      <t>ON</t>
    </r>
  </si>
  <si>
    <r>
      <t>V</t>
    </r>
    <r>
      <rPr>
        <b/>
        <vertAlign val="subscript"/>
        <sz val="10"/>
        <rFont val="Arial"/>
        <family val="2"/>
      </rPr>
      <t>CS</t>
    </r>
  </si>
  <si>
    <r>
      <t>V</t>
    </r>
    <r>
      <rPr>
        <b/>
        <vertAlign val="subscript"/>
        <sz val="10"/>
        <rFont val="Arial"/>
        <family val="2"/>
      </rPr>
      <t>FB</t>
    </r>
  </si>
  <si>
    <r>
      <t>I</t>
    </r>
    <r>
      <rPr>
        <vertAlign val="subscript"/>
        <sz val="10"/>
        <rFont val="Arial"/>
        <family val="2"/>
      </rPr>
      <t>P</t>
    </r>
    <r>
      <rPr>
        <sz val="10"/>
        <rFont val="Arial"/>
        <family val="2"/>
      </rPr>
      <t>, at DCM/FFB boundary</t>
    </r>
  </si>
  <si>
    <r>
      <t>Power limit offset, I</t>
    </r>
    <r>
      <rPr>
        <vertAlign val="subscript"/>
        <sz val="10"/>
        <rFont val="Arial"/>
        <family val="2"/>
      </rPr>
      <t>CS</t>
    </r>
    <r>
      <rPr>
        <sz val="10"/>
        <rFont val="Arial"/>
        <family val="2"/>
      </rPr>
      <t xml:space="preserve"> R</t>
    </r>
    <r>
      <rPr>
        <vertAlign val="subscript"/>
        <sz val="10"/>
        <rFont val="Arial"/>
        <family val="2"/>
      </rPr>
      <t>PL</t>
    </r>
  </si>
  <si>
    <r>
      <t>V</t>
    </r>
    <r>
      <rPr>
        <vertAlign val="subscript"/>
        <sz val="10"/>
        <rFont val="Arial"/>
        <family val="2"/>
      </rPr>
      <t>V</t>
    </r>
    <r>
      <rPr>
        <sz val="10"/>
        <rFont val="Arial"/>
        <family val="2"/>
      </rPr>
      <t>, valley V</t>
    </r>
    <r>
      <rPr>
        <vertAlign val="subscript"/>
        <sz val="10"/>
        <rFont val="Arial"/>
        <family val="2"/>
      </rPr>
      <t>DS</t>
    </r>
    <r>
      <rPr>
        <sz val="10"/>
        <rFont val="Arial"/>
        <family val="2"/>
      </rPr>
      <t>, Volts</t>
    </r>
  </si>
  <si>
    <r>
      <t>residue d</t>
    </r>
    <r>
      <rPr>
        <vertAlign val="subscript"/>
        <sz val="10"/>
        <rFont val="Arial"/>
        <family val="2"/>
      </rPr>
      <t>MAG(I)</t>
    </r>
    <r>
      <rPr>
        <sz val="10"/>
        <rFont val="Arial"/>
        <family val="2"/>
      </rPr>
      <t>, Amps</t>
    </r>
  </si>
  <si>
    <r>
      <t>TR, d</t>
    </r>
    <r>
      <rPr>
        <vertAlign val="subscript"/>
        <sz val="10"/>
        <rFont val="Arial"/>
        <family val="2"/>
      </rPr>
      <t>MAG</t>
    </r>
    <r>
      <rPr>
        <sz val="10"/>
        <rFont val="Arial"/>
        <family val="2"/>
      </rPr>
      <t>-valley, seconds</t>
    </r>
  </si>
  <si>
    <r>
      <t>C</t>
    </r>
    <r>
      <rPr>
        <vertAlign val="subscript"/>
        <sz val="10"/>
        <rFont val="Arial"/>
        <family val="2"/>
      </rPr>
      <t>DS</t>
    </r>
    <r>
      <rPr>
        <sz val="10"/>
        <rFont val="Arial"/>
        <family val="2"/>
      </rPr>
      <t>, total</t>
    </r>
  </si>
  <si>
    <r>
      <t>T</t>
    </r>
    <r>
      <rPr>
        <vertAlign val="subscript"/>
        <sz val="10"/>
        <rFont val="Arial"/>
        <family val="2"/>
      </rPr>
      <t>ON</t>
    </r>
    <r>
      <rPr>
        <sz val="10"/>
        <rFont val="Arial"/>
        <family val="2"/>
      </rPr>
      <t xml:space="preserve"> at I</t>
    </r>
    <r>
      <rPr>
        <vertAlign val="subscript"/>
        <sz val="10"/>
        <rFont val="Arial"/>
        <family val="2"/>
      </rPr>
      <t>P(max)</t>
    </r>
  </si>
  <si>
    <r>
      <t>I</t>
    </r>
    <r>
      <rPr>
        <vertAlign val="subscript"/>
        <sz val="10"/>
        <rFont val="Arial"/>
        <family val="2"/>
      </rPr>
      <t>P(max)</t>
    </r>
  </si>
  <si>
    <r>
      <t>V</t>
    </r>
    <r>
      <rPr>
        <vertAlign val="subscript"/>
        <sz val="10"/>
        <rFont val="Arial"/>
        <family val="2"/>
      </rPr>
      <t>BULK(min)</t>
    </r>
  </si>
  <si>
    <r>
      <t>V</t>
    </r>
    <r>
      <rPr>
        <vertAlign val="subscript"/>
        <sz val="10"/>
        <rFont val="Arial"/>
        <family val="2"/>
      </rPr>
      <t>AC</t>
    </r>
    <r>
      <rPr>
        <sz val="10"/>
        <rFont val="Arial"/>
        <family val="2"/>
      </rPr>
      <t>, equiv</t>
    </r>
  </si>
  <si>
    <r>
      <t>T</t>
    </r>
    <r>
      <rPr>
        <vertAlign val="subscript"/>
        <sz val="10"/>
        <rFont val="Arial"/>
        <family val="2"/>
      </rPr>
      <t>ZV</t>
    </r>
  </si>
  <si>
    <r>
      <t>Residue d</t>
    </r>
    <r>
      <rPr>
        <vertAlign val="subscript"/>
        <sz val="10"/>
        <rFont val="Arial"/>
        <family val="2"/>
      </rPr>
      <t>MAG(l)</t>
    </r>
    <r>
      <rPr>
        <sz val="10"/>
        <rFont val="Arial"/>
        <family val="2"/>
      </rPr>
      <t>, Amps</t>
    </r>
  </si>
  <si>
    <r>
      <t>TR, d</t>
    </r>
    <r>
      <rPr>
        <vertAlign val="subscript"/>
        <sz val="10"/>
        <rFont val="Arial"/>
        <family val="2"/>
      </rPr>
      <t>MAG-</t>
    </r>
    <r>
      <rPr>
        <sz val="10"/>
        <rFont val="Arial"/>
        <family val="2"/>
      </rPr>
      <t>valley, seconds</t>
    </r>
  </si>
  <si>
    <t>Resonant f, reset, Hz</t>
  </si>
  <si>
    <t>Resonant leakage time TL1=Tr/2pi</t>
  </si>
  <si>
    <t>Actual with Real Values</t>
  </si>
  <si>
    <t>Recommended with Turns ADJ</t>
  </si>
  <si>
    <t>Power Limit?</t>
  </si>
  <si>
    <r>
      <t>V</t>
    </r>
    <r>
      <rPr>
        <b/>
        <vertAlign val="subscript"/>
        <sz val="10"/>
        <rFont val="Arial"/>
        <family val="2"/>
      </rPr>
      <t>BULK</t>
    </r>
  </si>
  <si>
    <r>
      <t>V</t>
    </r>
    <r>
      <rPr>
        <b/>
        <vertAlign val="subscript"/>
        <sz val="10"/>
        <rFont val="Arial"/>
        <family val="2"/>
      </rPr>
      <t>AC</t>
    </r>
    <r>
      <rPr>
        <b/>
        <sz val="10"/>
        <rFont val="Arial"/>
        <family val="2"/>
      </rPr>
      <t>, equiv.</t>
    </r>
  </si>
  <si>
    <r>
      <t>I</t>
    </r>
    <r>
      <rPr>
        <b/>
        <vertAlign val="subscript"/>
        <sz val="10"/>
        <rFont val="Arial"/>
        <family val="2"/>
      </rPr>
      <t>P</t>
    </r>
    <r>
      <rPr>
        <b/>
        <sz val="10"/>
        <rFont val="Arial"/>
        <family val="2"/>
      </rPr>
      <t>, actual</t>
    </r>
  </si>
  <si>
    <r>
      <t>T</t>
    </r>
    <r>
      <rPr>
        <b/>
        <vertAlign val="subscript"/>
        <sz val="10"/>
        <rFont val="Arial"/>
        <family val="2"/>
      </rPr>
      <t>S</t>
    </r>
    <r>
      <rPr>
        <b/>
        <sz val="10"/>
        <rFont val="Arial"/>
        <family val="2"/>
      </rPr>
      <t>, actual</t>
    </r>
  </si>
  <si>
    <r>
      <t>T</t>
    </r>
    <r>
      <rPr>
        <b/>
        <vertAlign val="subscript"/>
        <sz val="10"/>
        <rFont val="Arial"/>
        <family val="2"/>
      </rPr>
      <t>ON</t>
    </r>
    <r>
      <rPr>
        <b/>
        <sz val="10"/>
        <rFont val="Arial"/>
        <family val="2"/>
      </rPr>
      <t>, actual</t>
    </r>
  </si>
  <si>
    <r>
      <t>f</t>
    </r>
    <r>
      <rPr>
        <b/>
        <vertAlign val="subscript"/>
        <sz val="10"/>
        <rFont val="Arial"/>
        <family val="2"/>
      </rPr>
      <t>S</t>
    </r>
    <r>
      <rPr>
        <b/>
        <sz val="10"/>
        <rFont val="Arial"/>
        <family val="2"/>
      </rPr>
      <t>, actual</t>
    </r>
  </si>
  <si>
    <r>
      <t>I</t>
    </r>
    <r>
      <rPr>
        <vertAlign val="subscript"/>
        <sz val="10"/>
        <rFont val="Arial"/>
        <family val="2"/>
      </rPr>
      <t>P</t>
    </r>
    <r>
      <rPr>
        <sz val="10"/>
        <rFont val="Arial"/>
        <family val="2"/>
      </rPr>
      <t>/I</t>
    </r>
    <r>
      <rPr>
        <vertAlign val="subscript"/>
        <sz val="10"/>
        <rFont val="Arial"/>
        <family val="2"/>
      </rPr>
      <t>P(max)</t>
    </r>
    <r>
      <rPr>
        <sz val="10"/>
        <rFont val="Arial"/>
        <family val="2"/>
      </rPr>
      <t xml:space="preserve"> at DCM/FFB boundary</t>
    </r>
  </si>
  <si>
    <r>
      <t>V</t>
    </r>
    <r>
      <rPr>
        <vertAlign val="subscript"/>
        <sz val="10"/>
        <rFont val="Arial"/>
        <family val="2"/>
      </rPr>
      <t>FB</t>
    </r>
    <r>
      <rPr>
        <sz val="10"/>
        <rFont val="Arial"/>
        <family val="2"/>
      </rPr>
      <t xml:space="preserve"> @ power limit</t>
    </r>
  </si>
  <si>
    <r>
      <t>R</t>
    </r>
    <r>
      <rPr>
        <vertAlign val="subscript"/>
        <sz val="10"/>
        <rFont val="Arial"/>
        <family val="2"/>
      </rPr>
      <t>FB</t>
    </r>
  </si>
  <si>
    <r>
      <t>V</t>
    </r>
    <r>
      <rPr>
        <vertAlign val="subscript"/>
        <sz val="10"/>
        <rFont val="Arial"/>
        <family val="2"/>
      </rPr>
      <t>FB</t>
    </r>
    <r>
      <rPr>
        <sz val="10"/>
        <rFont val="Arial"/>
        <family val="2"/>
      </rPr>
      <t>, no load</t>
    </r>
  </si>
  <si>
    <r>
      <t>I</t>
    </r>
    <r>
      <rPr>
        <b/>
        <vertAlign val="subscript"/>
        <sz val="10"/>
        <rFont val="Arial"/>
        <family val="2"/>
      </rPr>
      <t>PRI(rms)</t>
    </r>
  </si>
  <si>
    <r>
      <t>I</t>
    </r>
    <r>
      <rPr>
        <b/>
        <vertAlign val="subscript"/>
        <sz val="10"/>
        <rFont val="Arial"/>
        <family val="2"/>
      </rPr>
      <t>SEC(rms)</t>
    </r>
  </si>
  <si>
    <r>
      <t>C</t>
    </r>
    <r>
      <rPr>
        <b/>
        <vertAlign val="subscript"/>
        <sz val="10"/>
        <rFont val="Arial"/>
        <family val="2"/>
      </rPr>
      <t>DS</t>
    </r>
    <r>
      <rPr>
        <b/>
        <sz val="10"/>
        <rFont val="Arial"/>
        <family val="2"/>
      </rPr>
      <t>, total</t>
    </r>
  </si>
  <si>
    <r>
      <t>residue d</t>
    </r>
    <r>
      <rPr>
        <b/>
        <vertAlign val="subscript"/>
        <sz val="10"/>
        <rFont val="Arial"/>
        <family val="2"/>
      </rPr>
      <t>MAG(l)</t>
    </r>
  </si>
  <si>
    <r>
      <t>TR, d</t>
    </r>
    <r>
      <rPr>
        <b/>
        <vertAlign val="subscript"/>
        <sz val="10"/>
        <rFont val="Arial"/>
        <family val="2"/>
      </rPr>
      <t>MAG(valley)</t>
    </r>
  </si>
  <si>
    <r>
      <t>T</t>
    </r>
    <r>
      <rPr>
        <b/>
        <vertAlign val="subscript"/>
        <sz val="10"/>
        <rFont val="Arial"/>
        <family val="2"/>
      </rPr>
      <t>ZV</t>
    </r>
  </si>
  <si>
    <r>
      <t>I</t>
    </r>
    <r>
      <rPr>
        <b/>
        <vertAlign val="subscript"/>
        <sz val="10"/>
        <rFont val="Arial"/>
        <family val="2"/>
      </rPr>
      <t>P1</t>
    </r>
  </si>
  <si>
    <r>
      <t>I</t>
    </r>
    <r>
      <rPr>
        <b/>
        <vertAlign val="subscript"/>
        <sz val="10"/>
        <rFont val="Arial"/>
        <family val="2"/>
      </rPr>
      <t>P2</t>
    </r>
  </si>
  <si>
    <t>Quasi-Resonant (QR) flyback converter design is an iterative process.  This design tool reduces the hardware iterations by simulating the steady state operating maps that show the converter modes under different input and load conditions.  Design adjustments can be explored in order to optimize the power system.  Although the design spreadsheet is organized around a bridge rectifier – bulk capacitor line rectifier, it can be used for fixed output Power Factor Corrector (PFC) or voltage follower PFC systems.  Systems with PFC must allow the QR flyback stage to start-up under the low ac line condition.  However, the steady state conduction losses to the QR flyback stage will only occur at the PFC bulk capacitor voltage levels.</t>
  </si>
  <si>
    <r>
      <t xml:space="preserve">To use this tool, enter the voltages, power levels and converter estimates into the appropriate spaces of the QR Design Tool worksheet.  This step also requires an initial selection of the power MOSFET and the output rectifier.  Enter data in the cells with the </t>
    </r>
    <r>
      <rPr>
        <b/>
        <sz val="10"/>
        <color indexed="12"/>
        <rFont val="Arial"/>
        <family val="2"/>
      </rPr>
      <t>BLUE</t>
    </r>
    <r>
      <rPr>
        <sz val="10"/>
        <rFont val="Arial"/>
        <family val="2"/>
      </rPr>
      <t xml:space="preserve"> text; the calculated values are in the cells with the </t>
    </r>
    <r>
      <rPr>
        <b/>
        <sz val="10"/>
        <color indexed="10"/>
        <rFont val="Arial"/>
        <family val="2"/>
      </rPr>
      <t>RED</t>
    </r>
    <r>
      <rPr>
        <sz val="10"/>
        <rFont val="Arial"/>
        <family val="2"/>
      </rPr>
      <t xml:space="preserve"> text.  The parameters for the UCC28600 are already included.  The design tool will generate a recommended design that includes transformer parameters.  Verify that the current and voltage stresses are compatible with the MOSFET and output rectifier that were initially selected.  The recommended values in the design may not be practical due to integer transformer turns, standard values, etc.  Yet the operation of the converter can be significantly altered by using the closest parameter.</t>
    </r>
  </si>
  <si>
    <r>
      <t>The QR Simulator will carry over the Converter Requirements, MOSFET Specifications, Diode Data and the UCC28600 Characteristics.  The transformer information and the programming components, R</t>
    </r>
    <r>
      <rPr>
        <vertAlign val="subscript"/>
        <sz val="10"/>
        <rFont val="Arial"/>
        <family val="2"/>
      </rPr>
      <t>S</t>
    </r>
    <r>
      <rPr>
        <sz val="10"/>
        <rFont val="Arial"/>
        <family val="2"/>
      </rPr>
      <t xml:space="preserve"> (current sense resistance), R</t>
    </r>
    <r>
      <rPr>
        <vertAlign val="subscript"/>
        <sz val="10"/>
        <rFont val="Arial"/>
        <family val="2"/>
      </rPr>
      <t>PL</t>
    </r>
    <r>
      <rPr>
        <sz val="10"/>
        <rFont val="Arial"/>
        <family val="2"/>
      </rPr>
      <t xml:space="preserve"> (power limit programming), R</t>
    </r>
    <r>
      <rPr>
        <vertAlign val="subscript"/>
        <sz val="10"/>
        <rFont val="Arial"/>
        <family val="2"/>
      </rPr>
      <t>OVP1</t>
    </r>
    <r>
      <rPr>
        <sz val="10"/>
        <rFont val="Arial"/>
        <family val="2"/>
      </rPr>
      <t xml:space="preserve"> and R</t>
    </r>
    <r>
      <rPr>
        <vertAlign val="subscript"/>
        <sz val="10"/>
        <rFont val="Arial"/>
        <family val="2"/>
      </rPr>
      <t>OVP2</t>
    </r>
    <r>
      <rPr>
        <sz val="10"/>
        <rFont val="Arial"/>
        <family val="2"/>
      </rPr>
      <t xml:space="preserve"> (over-voltage programming resistors) must be entered by the user.  The recommended values are shown beside the cells as a reminder for the ideal values.</t>
    </r>
  </si>
  <si>
    <r>
      <t>For PFC systems that have a fixed bulk voltage, estimate the PFC output voltage at the peak of its ripple.  Calculate the equivalent ac voltage to achieve that maximum voltage level.  Enter that ac voltage as the V</t>
    </r>
    <r>
      <rPr>
        <vertAlign val="subscript"/>
        <sz val="10"/>
        <rFont val="Arial"/>
        <family val="2"/>
      </rPr>
      <t>AC(max)</t>
    </r>
    <r>
      <rPr>
        <sz val="10"/>
        <rFont val="Arial"/>
        <family val="2"/>
      </rPr>
      <t xml:space="preserve"> level.  Enter the minimum operational ac line voltage as the V</t>
    </r>
    <r>
      <rPr>
        <vertAlign val="subscript"/>
        <sz val="10"/>
        <rFont val="Arial"/>
        <family val="2"/>
      </rPr>
      <t>AC(min)</t>
    </r>
    <r>
      <rPr>
        <sz val="10"/>
        <rFont val="Arial"/>
        <family val="2"/>
      </rPr>
      <t xml:space="preserve"> level because the QR Flyback must power up correctly in order to start the PFC stage.</t>
    </r>
  </si>
  <si>
    <r>
      <t>For voltage follower PFC systems, estimate the PFC output voltage at the peak of its ripple during maximum line conditions. Calculate the equivalent ac voltage to achieve that maximum voltage level. Enter that ac voltage as the V</t>
    </r>
    <r>
      <rPr>
        <vertAlign val="subscript"/>
        <sz val="10"/>
        <rFont val="Arial"/>
        <family val="2"/>
      </rPr>
      <t>AC(max)</t>
    </r>
    <r>
      <rPr>
        <sz val="10"/>
        <rFont val="Arial"/>
        <family val="2"/>
      </rPr>
      <t xml:space="preserve"> level. Enter the minimum ac line voltage as the V</t>
    </r>
    <r>
      <rPr>
        <vertAlign val="subscript"/>
        <sz val="10"/>
        <rFont val="Arial"/>
        <family val="2"/>
      </rPr>
      <t>AC(min)</t>
    </r>
    <r>
      <rPr>
        <sz val="10"/>
        <rFont val="Arial"/>
        <family val="2"/>
      </rPr>
      <t xml:space="preserve"> level because the QR Flyback must power up correctly in order to start the PFC stage. In the least, converter must be designed to operate at safe temperatures under the steady state operating rms currents that occur at the minimum PFC voltage and at the maximum PFC voltage. The data tables in the QR Simulator worksheet can assist in finding the required values.</t>
    </r>
  </si>
  <si>
    <t>Output capacitor</t>
  </si>
  <si>
    <r>
      <t>t</t>
    </r>
    <r>
      <rPr>
        <vertAlign val="subscript"/>
        <sz val="10"/>
        <rFont val="Arial"/>
        <family val="2"/>
      </rPr>
      <t>SS</t>
    </r>
  </si>
  <si>
    <r>
      <t>C</t>
    </r>
    <r>
      <rPr>
        <vertAlign val="subscript"/>
        <sz val="10"/>
        <rFont val="Arial"/>
        <family val="2"/>
      </rPr>
      <t>SS</t>
    </r>
  </si>
  <si>
    <r>
      <t>C</t>
    </r>
    <r>
      <rPr>
        <vertAlign val="subscript"/>
        <sz val="10"/>
        <rFont val="Arial"/>
        <family val="2"/>
      </rPr>
      <t>SNUB</t>
    </r>
  </si>
  <si>
    <r>
      <t>R</t>
    </r>
    <r>
      <rPr>
        <vertAlign val="subscript"/>
        <sz val="10"/>
        <rFont val="Arial"/>
        <family val="2"/>
      </rPr>
      <t>SNUB1</t>
    </r>
  </si>
  <si>
    <r>
      <t>R</t>
    </r>
    <r>
      <rPr>
        <vertAlign val="subscript"/>
        <sz val="10"/>
        <rFont val="Arial"/>
        <family val="2"/>
      </rPr>
      <t>PL</t>
    </r>
  </si>
  <si>
    <r>
      <t>V</t>
    </r>
    <r>
      <rPr>
        <vertAlign val="subscript"/>
        <sz val="10"/>
        <rFont val="Arial"/>
        <family val="2"/>
      </rPr>
      <t>BLOCK</t>
    </r>
  </si>
  <si>
    <r>
      <t>V</t>
    </r>
    <r>
      <rPr>
        <vertAlign val="subscript"/>
        <sz val="10"/>
        <rFont val="Arial"/>
        <family val="2"/>
      </rPr>
      <t>F</t>
    </r>
  </si>
  <si>
    <r>
      <t>P</t>
    </r>
    <r>
      <rPr>
        <vertAlign val="subscript"/>
        <sz val="10"/>
        <rFont val="Arial"/>
        <family val="2"/>
      </rPr>
      <t>DISSIPATE</t>
    </r>
    <r>
      <rPr>
        <sz val="10"/>
        <rFont val="Arial"/>
        <family val="2"/>
      </rPr>
      <t xml:space="preserve"> </t>
    </r>
  </si>
  <si>
    <r>
      <t>I</t>
    </r>
    <r>
      <rPr>
        <vertAlign val="subscript"/>
        <sz val="10"/>
        <rFont val="Arial"/>
        <family val="2"/>
      </rPr>
      <t>AVERAGE</t>
    </r>
  </si>
  <si>
    <r>
      <t>C</t>
    </r>
    <r>
      <rPr>
        <vertAlign val="subscript"/>
        <sz val="10"/>
        <rFont val="Arial"/>
        <family val="2"/>
      </rPr>
      <t>OUT</t>
    </r>
  </si>
  <si>
    <r>
      <t>I</t>
    </r>
    <r>
      <rPr>
        <vertAlign val="subscript"/>
        <sz val="10"/>
        <rFont val="Arial"/>
        <family val="2"/>
      </rPr>
      <t>D(rms)</t>
    </r>
  </si>
  <si>
    <r>
      <t>V</t>
    </r>
    <r>
      <rPr>
        <vertAlign val="subscript"/>
        <sz val="10"/>
        <rFont val="Arial"/>
        <family val="2"/>
      </rPr>
      <t>DS</t>
    </r>
    <r>
      <rPr>
        <sz val="10"/>
        <rFont val="Arial"/>
        <family val="2"/>
      </rPr>
      <t xml:space="preserve"> rating</t>
    </r>
  </si>
  <si>
    <t>MOSFET</t>
  </si>
  <si>
    <r>
      <t>I</t>
    </r>
    <r>
      <rPr>
        <vertAlign val="subscript"/>
        <sz val="10"/>
        <rFont val="Arial"/>
        <family val="2"/>
      </rPr>
      <t>SEC(rms)</t>
    </r>
    <r>
      <rPr>
        <sz val="10"/>
        <rFont val="Arial"/>
        <family val="2"/>
      </rPr>
      <t xml:space="preserve"> @ high line</t>
    </r>
  </si>
  <si>
    <r>
      <t>I</t>
    </r>
    <r>
      <rPr>
        <vertAlign val="subscript"/>
        <sz val="10"/>
        <rFont val="Arial"/>
        <family val="2"/>
      </rPr>
      <t>SEC(rms)</t>
    </r>
    <r>
      <rPr>
        <sz val="10"/>
        <rFont val="Arial"/>
        <family val="2"/>
      </rPr>
      <t xml:space="preserve"> @ low line</t>
    </r>
  </si>
  <si>
    <r>
      <t>I</t>
    </r>
    <r>
      <rPr>
        <vertAlign val="subscript"/>
        <sz val="10"/>
        <rFont val="Arial"/>
        <family val="2"/>
      </rPr>
      <t>PRI(peak)</t>
    </r>
  </si>
  <si>
    <r>
      <t>I</t>
    </r>
    <r>
      <rPr>
        <vertAlign val="subscript"/>
        <sz val="10"/>
        <rFont val="Arial"/>
        <family val="2"/>
      </rPr>
      <t>PRI(rms)</t>
    </r>
  </si>
  <si>
    <r>
      <t>L</t>
    </r>
    <r>
      <rPr>
        <vertAlign val="subscript"/>
        <sz val="10"/>
        <rFont val="Arial"/>
        <family val="2"/>
      </rPr>
      <t>PRI(leakage)</t>
    </r>
  </si>
  <si>
    <r>
      <t>N</t>
    </r>
    <r>
      <rPr>
        <vertAlign val="subscript"/>
        <sz val="10"/>
        <rFont val="Arial"/>
        <family val="2"/>
      </rPr>
      <t>PRI</t>
    </r>
    <r>
      <rPr>
        <sz val="10"/>
        <rFont val="Arial"/>
        <family val="2"/>
      </rPr>
      <t>/N</t>
    </r>
    <r>
      <rPr>
        <vertAlign val="subscript"/>
        <sz val="10"/>
        <rFont val="Arial"/>
        <family val="2"/>
      </rPr>
      <t>SEC</t>
    </r>
  </si>
  <si>
    <r>
      <t>L</t>
    </r>
    <r>
      <rPr>
        <vertAlign val="subscript"/>
        <sz val="10"/>
        <rFont val="Arial"/>
        <family val="2"/>
      </rPr>
      <t>PRI(terminal)</t>
    </r>
  </si>
  <si>
    <r>
      <t>A</t>
    </r>
    <r>
      <rPr>
        <vertAlign val="subscript"/>
        <sz val="10"/>
        <rFont val="Arial"/>
        <family val="2"/>
      </rPr>
      <t>RMS</t>
    </r>
    <r>
      <rPr>
        <sz val="10"/>
        <rFont val="Arial"/>
        <family val="2"/>
      </rPr>
      <t>, for PFC design</t>
    </r>
  </si>
  <si>
    <r>
      <t>C</t>
    </r>
    <r>
      <rPr>
        <vertAlign val="subscript"/>
        <sz val="10"/>
        <rFont val="Arial"/>
        <family val="2"/>
      </rPr>
      <t>SS</t>
    </r>
    <r>
      <rPr>
        <sz val="10"/>
        <rFont val="Arial"/>
        <family val="2"/>
      </rPr>
      <t>, minimum</t>
    </r>
  </si>
  <si>
    <r>
      <t>t</t>
    </r>
    <r>
      <rPr>
        <vertAlign val="subscript"/>
        <sz val="10"/>
        <rFont val="Arial"/>
        <family val="2"/>
      </rPr>
      <t>SS</t>
    </r>
    <r>
      <rPr>
        <sz val="10"/>
        <rFont val="Arial"/>
        <family val="2"/>
      </rPr>
      <t>, minimum</t>
    </r>
  </si>
  <si>
    <r>
      <t>I</t>
    </r>
    <r>
      <rPr>
        <vertAlign val="subscript"/>
        <sz val="10"/>
        <rFont val="Arial"/>
        <family val="2"/>
      </rPr>
      <t>C(out)</t>
    </r>
    <r>
      <rPr>
        <sz val="10"/>
        <rFont val="Arial"/>
        <family val="2"/>
      </rPr>
      <t>, rms @ low line</t>
    </r>
  </si>
  <si>
    <r>
      <t>I</t>
    </r>
    <r>
      <rPr>
        <vertAlign val="subscript"/>
        <sz val="10"/>
        <rFont val="Arial"/>
        <family val="2"/>
      </rPr>
      <t>C(out)</t>
    </r>
    <r>
      <rPr>
        <sz val="10"/>
        <rFont val="Arial"/>
        <family val="2"/>
      </rPr>
      <t>, rms @ high line</t>
    </r>
  </si>
  <si>
    <r>
      <t>P</t>
    </r>
    <r>
      <rPr>
        <vertAlign val="subscript"/>
        <sz val="10"/>
        <rFont val="Arial"/>
        <family val="2"/>
      </rPr>
      <t>OUT(max)</t>
    </r>
    <r>
      <rPr>
        <sz val="10"/>
        <rFont val="Arial"/>
        <family val="2"/>
      </rPr>
      <t xml:space="preserve"> limit</t>
    </r>
  </si>
  <si>
    <r>
      <t>V</t>
    </r>
    <r>
      <rPr>
        <vertAlign val="subscript"/>
        <sz val="10"/>
        <rFont val="Arial"/>
        <family val="2"/>
      </rPr>
      <t>OUT(ripple)</t>
    </r>
    <r>
      <rPr>
        <sz val="10"/>
        <rFont val="Arial"/>
        <family val="2"/>
      </rPr>
      <t>, max pp</t>
    </r>
  </si>
  <si>
    <r>
      <t>max dV</t>
    </r>
    <r>
      <rPr>
        <vertAlign val="subscript"/>
        <sz val="10"/>
        <rFont val="Arial"/>
        <family val="2"/>
      </rPr>
      <t xml:space="preserve">OUT </t>
    </r>
    <r>
      <rPr>
        <sz val="10"/>
        <rFont val="Arial"/>
        <family val="2"/>
      </rPr>
      <t>due to Load step</t>
    </r>
  </si>
  <si>
    <r>
      <t>V, V</t>
    </r>
    <r>
      <rPr>
        <vertAlign val="subscript"/>
        <sz val="10"/>
        <rFont val="Arial"/>
        <family val="2"/>
      </rPr>
      <t>AC(min)</t>
    </r>
    <r>
      <rPr>
        <sz val="10"/>
        <rFont val="Symbol"/>
        <family val="1"/>
        <charset val="2"/>
      </rPr>
      <t>Ö</t>
    </r>
    <r>
      <rPr>
        <sz val="10"/>
        <rFont val="Arial"/>
        <family val="2"/>
      </rPr>
      <t>2</t>
    </r>
  </si>
  <si>
    <r>
      <t>V, V</t>
    </r>
    <r>
      <rPr>
        <vertAlign val="subscript"/>
        <sz val="10"/>
        <rFont val="Arial"/>
        <family val="2"/>
      </rPr>
      <t>AC(max)</t>
    </r>
    <r>
      <rPr>
        <sz val="10"/>
        <rFont val="Symbol"/>
        <family val="1"/>
        <charset val="2"/>
      </rPr>
      <t>Ö</t>
    </r>
    <r>
      <rPr>
        <sz val="10"/>
        <rFont val="Arial"/>
        <family val="2"/>
      </rPr>
      <t>2</t>
    </r>
  </si>
  <si>
    <t>Snubber Components and Parameters, Primary-Side Voltage Clamping</t>
  </si>
  <si>
    <r>
      <t>T</t>
    </r>
    <r>
      <rPr>
        <vertAlign val="subscript"/>
        <sz val="10"/>
        <rFont val="Arial"/>
        <family val="2"/>
      </rPr>
      <t>SNUB</t>
    </r>
  </si>
  <si>
    <t>Summary of Maximum Load at Minimum and Maximum Line</t>
  </si>
  <si>
    <r>
      <t>At V</t>
    </r>
    <r>
      <rPr>
        <vertAlign val="subscript"/>
        <sz val="10"/>
        <rFont val="Arial"/>
        <family val="2"/>
      </rPr>
      <t>AC(min)</t>
    </r>
  </si>
  <si>
    <r>
      <t>At V</t>
    </r>
    <r>
      <rPr>
        <vertAlign val="subscript"/>
        <sz val="10"/>
        <rFont val="Arial"/>
        <family val="2"/>
      </rPr>
      <t>AC(max)</t>
    </r>
  </si>
  <si>
    <r>
      <t>Ideal Design Using MIN N</t>
    </r>
    <r>
      <rPr>
        <b/>
        <vertAlign val="subscript"/>
        <sz val="18"/>
        <rFont val="Arial"/>
        <family val="2"/>
      </rPr>
      <t>PRI</t>
    </r>
    <r>
      <rPr>
        <b/>
        <sz val="18"/>
        <rFont val="Arial"/>
        <family val="2"/>
      </rPr>
      <t xml:space="preserve"> / N</t>
    </r>
    <r>
      <rPr>
        <b/>
        <vertAlign val="subscript"/>
        <sz val="18"/>
        <rFont val="Arial"/>
        <family val="2"/>
      </rPr>
      <t>SEC</t>
    </r>
    <r>
      <rPr>
        <b/>
        <sz val="18"/>
        <rFont val="Arial"/>
        <family val="2"/>
      </rPr>
      <t xml:space="preserve"> and MAX L over V</t>
    </r>
    <r>
      <rPr>
        <b/>
        <vertAlign val="subscript"/>
        <sz val="18"/>
        <rFont val="Arial"/>
        <family val="2"/>
      </rPr>
      <t>AC</t>
    </r>
    <r>
      <rPr>
        <b/>
        <sz val="18"/>
        <rFont val="Arial"/>
        <family val="2"/>
      </rPr>
      <t xml:space="preserve"> Range @ MAX Load</t>
    </r>
  </si>
  <si>
    <r>
      <t>C</t>
    </r>
    <r>
      <rPr>
        <vertAlign val="subscript"/>
        <sz val="10"/>
        <rFont val="Arial"/>
        <family val="2"/>
      </rPr>
      <t>DS</t>
    </r>
    <r>
      <rPr>
        <sz val="10"/>
        <rFont val="Arial"/>
        <family val="2"/>
      </rPr>
      <t>, stray</t>
    </r>
  </si>
  <si>
    <r>
      <t>1+R</t>
    </r>
    <r>
      <rPr>
        <vertAlign val="subscript"/>
        <sz val="10"/>
        <rFont val="Arial"/>
        <family val="2"/>
      </rPr>
      <t>OVP1</t>
    </r>
    <r>
      <rPr>
        <sz val="10"/>
        <rFont val="Arial"/>
        <family val="2"/>
      </rPr>
      <t>/R</t>
    </r>
    <r>
      <rPr>
        <vertAlign val="subscript"/>
        <sz val="10"/>
        <rFont val="Arial"/>
        <family val="2"/>
      </rPr>
      <t>OVP2</t>
    </r>
  </si>
  <si>
    <r>
      <t>min N</t>
    </r>
    <r>
      <rPr>
        <vertAlign val="subscript"/>
        <sz val="10"/>
        <rFont val="Arial"/>
        <family val="2"/>
      </rPr>
      <t xml:space="preserve">PRI </t>
    </r>
    <r>
      <rPr>
        <sz val="10"/>
        <rFont val="Arial"/>
        <family val="2"/>
      </rPr>
      <t>/ N</t>
    </r>
    <r>
      <rPr>
        <vertAlign val="subscript"/>
        <sz val="10"/>
        <rFont val="Arial"/>
        <family val="2"/>
      </rPr>
      <t>SEC</t>
    </r>
  </si>
  <si>
    <r>
      <t>min N</t>
    </r>
    <r>
      <rPr>
        <vertAlign val="subscript"/>
        <sz val="10"/>
        <rFont val="Arial"/>
        <family val="2"/>
      </rPr>
      <t>PRI</t>
    </r>
    <r>
      <rPr>
        <sz val="10"/>
        <rFont val="Arial"/>
        <family val="2"/>
      </rPr>
      <t xml:space="preserve"> / N</t>
    </r>
    <r>
      <rPr>
        <vertAlign val="subscript"/>
        <sz val="10"/>
        <rFont val="Arial"/>
        <family val="2"/>
      </rPr>
      <t>BIAS</t>
    </r>
  </si>
  <si>
    <r>
      <t>t</t>
    </r>
    <r>
      <rPr>
        <vertAlign val="subscript"/>
        <sz val="10"/>
        <rFont val="Arial"/>
        <family val="2"/>
      </rPr>
      <t>VALLEY</t>
    </r>
    <r>
      <rPr>
        <sz val="10"/>
        <rFont val="Arial"/>
        <family val="2"/>
      </rPr>
      <t xml:space="preserve"> / sqrt(L)</t>
    </r>
  </si>
  <si>
    <r>
      <t>t</t>
    </r>
    <r>
      <rPr>
        <vertAlign val="subscript"/>
        <sz val="10"/>
        <rFont val="Arial"/>
        <family val="2"/>
      </rPr>
      <t>LEAKAGE</t>
    </r>
    <r>
      <rPr>
        <sz val="10"/>
        <rFont val="Arial"/>
        <family val="2"/>
      </rPr>
      <t xml:space="preserve"> / sqrt(L)</t>
    </r>
  </si>
  <si>
    <r>
      <t>t</t>
    </r>
    <r>
      <rPr>
        <vertAlign val="subscript"/>
        <sz val="10"/>
        <rFont val="Arial"/>
        <family val="2"/>
      </rPr>
      <t>ON</t>
    </r>
    <r>
      <rPr>
        <sz val="10"/>
        <rFont val="Arial"/>
        <family val="2"/>
      </rPr>
      <t xml:space="preserve"> / sqrt(L)</t>
    </r>
  </si>
  <si>
    <r>
      <t>R</t>
    </r>
    <r>
      <rPr>
        <vertAlign val="subscript"/>
        <sz val="10"/>
        <rFont val="Arial"/>
        <family val="2"/>
      </rPr>
      <t>LOAD</t>
    </r>
    <r>
      <rPr>
        <sz val="10"/>
        <rFont val="Arial"/>
        <family val="2"/>
      </rPr>
      <t>, reflect to pri</t>
    </r>
  </si>
  <si>
    <r>
      <t>C</t>
    </r>
    <r>
      <rPr>
        <vertAlign val="subscript"/>
        <sz val="10"/>
        <rFont val="Arial"/>
        <family val="2"/>
      </rPr>
      <t>DS(total)</t>
    </r>
    <r>
      <rPr>
        <sz val="10"/>
        <rFont val="Arial"/>
        <family val="2"/>
      </rPr>
      <t xml:space="preserve"> @ V</t>
    </r>
    <r>
      <rPr>
        <vertAlign val="subscript"/>
        <sz val="10"/>
        <rFont val="Arial"/>
        <family val="2"/>
      </rPr>
      <t>AC(max)</t>
    </r>
  </si>
  <si>
    <r>
      <t>C</t>
    </r>
    <r>
      <rPr>
        <vertAlign val="subscript"/>
        <sz val="10"/>
        <rFont val="Arial"/>
        <family val="2"/>
      </rPr>
      <t>OSS</t>
    </r>
    <r>
      <rPr>
        <sz val="10"/>
        <rFont val="Arial"/>
        <family val="2"/>
      </rPr>
      <t xml:space="preserve"> @ V</t>
    </r>
    <r>
      <rPr>
        <vertAlign val="subscript"/>
        <sz val="10"/>
        <rFont val="Arial"/>
        <family val="2"/>
      </rPr>
      <t>AC(max)</t>
    </r>
  </si>
  <si>
    <r>
      <t>C</t>
    </r>
    <r>
      <rPr>
        <vertAlign val="subscript"/>
        <sz val="10"/>
        <rFont val="Arial"/>
        <family val="2"/>
      </rPr>
      <t xml:space="preserve">DS(total) </t>
    </r>
    <r>
      <rPr>
        <sz val="10"/>
        <rFont val="Arial"/>
        <family val="2"/>
      </rPr>
      <t>@ V</t>
    </r>
    <r>
      <rPr>
        <vertAlign val="subscript"/>
        <sz val="10"/>
        <rFont val="Arial"/>
        <family val="2"/>
      </rPr>
      <t>AC(min)</t>
    </r>
  </si>
  <si>
    <r>
      <t>C</t>
    </r>
    <r>
      <rPr>
        <vertAlign val="subscript"/>
        <sz val="10"/>
        <rFont val="Arial"/>
        <family val="2"/>
      </rPr>
      <t>OSS</t>
    </r>
    <r>
      <rPr>
        <sz val="10"/>
        <rFont val="Arial"/>
        <family val="2"/>
      </rPr>
      <t xml:space="preserve"> @ V</t>
    </r>
    <r>
      <rPr>
        <vertAlign val="subscript"/>
        <sz val="10"/>
        <rFont val="Arial"/>
        <family val="2"/>
      </rPr>
      <t>AC(min)</t>
    </r>
  </si>
  <si>
    <r>
      <t>ZVS at V</t>
    </r>
    <r>
      <rPr>
        <vertAlign val="subscript"/>
        <sz val="10"/>
        <rFont val="Arial"/>
        <family val="2"/>
      </rPr>
      <t>AC(max_pk)</t>
    </r>
    <r>
      <rPr>
        <sz val="10"/>
        <rFont val="Arial"/>
        <family val="2"/>
      </rPr>
      <t>?</t>
    </r>
  </si>
  <si>
    <r>
      <t>ZVS at V</t>
    </r>
    <r>
      <rPr>
        <vertAlign val="subscript"/>
        <sz val="10"/>
        <rFont val="Arial"/>
        <family val="2"/>
      </rPr>
      <t>AC(min_valley)</t>
    </r>
    <r>
      <rPr>
        <sz val="10"/>
        <rFont val="Arial"/>
        <family val="2"/>
      </rPr>
      <t>?</t>
    </r>
  </si>
  <si>
    <r>
      <t>turns, N = V</t>
    </r>
    <r>
      <rPr>
        <vertAlign val="subscript"/>
        <sz val="10"/>
        <rFont val="Arial"/>
        <family val="2"/>
      </rPr>
      <t>XFMR</t>
    </r>
    <r>
      <rPr>
        <sz val="10"/>
        <rFont val="Arial"/>
        <family val="2"/>
      </rPr>
      <t>/(V</t>
    </r>
    <r>
      <rPr>
        <vertAlign val="subscript"/>
        <sz val="10"/>
        <rFont val="Arial"/>
        <family val="2"/>
      </rPr>
      <t>OUT</t>
    </r>
    <r>
      <rPr>
        <sz val="10"/>
        <rFont val="Arial"/>
        <family val="2"/>
      </rPr>
      <t>+V</t>
    </r>
    <r>
      <rPr>
        <vertAlign val="subscript"/>
        <sz val="10"/>
        <rFont val="Arial"/>
        <family val="2"/>
      </rPr>
      <t>F</t>
    </r>
    <r>
      <rPr>
        <sz val="10"/>
        <rFont val="Arial"/>
        <family val="2"/>
      </rPr>
      <t>)</t>
    </r>
  </si>
  <si>
    <r>
      <t>V</t>
    </r>
    <r>
      <rPr>
        <b/>
        <vertAlign val="subscript"/>
        <sz val="10"/>
        <rFont val="Arial"/>
        <family val="2"/>
      </rPr>
      <t>AC(equiv)</t>
    </r>
  </si>
  <si>
    <r>
      <t>I</t>
    </r>
    <r>
      <rPr>
        <b/>
        <vertAlign val="subscript"/>
        <sz val="10"/>
        <rFont val="Arial"/>
        <family val="2"/>
      </rPr>
      <t>PEAK</t>
    </r>
  </si>
  <si>
    <r>
      <t>T</t>
    </r>
    <r>
      <rPr>
        <b/>
        <vertAlign val="subscript"/>
        <sz val="10"/>
        <rFont val="Arial"/>
        <family val="2"/>
      </rPr>
      <t>S</t>
    </r>
  </si>
  <si>
    <r>
      <t>T</t>
    </r>
    <r>
      <rPr>
        <b/>
        <vertAlign val="subscript"/>
        <sz val="10"/>
        <rFont val="Arial"/>
        <family val="2"/>
      </rPr>
      <t>DEMAG</t>
    </r>
  </si>
  <si>
    <r>
      <t>V</t>
    </r>
    <r>
      <rPr>
        <b/>
        <vertAlign val="subscript"/>
        <sz val="10"/>
        <rFont val="Arial"/>
        <family val="2"/>
      </rPr>
      <t>OUT</t>
    </r>
    <r>
      <rPr>
        <b/>
        <sz val="10"/>
        <rFont val="Arial"/>
        <family val="2"/>
      </rPr>
      <t>/D</t>
    </r>
  </si>
  <si>
    <r>
      <t xml:space="preserve">150 </t>
    </r>
    <r>
      <rPr>
        <sz val="10"/>
        <rFont val="Symbol Set SWA"/>
        <family val="1"/>
        <charset val="2"/>
      </rPr>
      <t>m</t>
    </r>
    <r>
      <rPr>
        <sz val="10"/>
        <rFont val="Arial"/>
        <family val="2"/>
      </rPr>
      <t xml:space="preserve">A/300 </t>
    </r>
    <r>
      <rPr>
        <sz val="10"/>
        <rFont val="Symbol Set SWA"/>
        <family val="1"/>
        <charset val="2"/>
      </rPr>
      <t>m</t>
    </r>
    <r>
      <rPr>
        <sz val="10"/>
        <rFont val="Arial"/>
        <family val="2"/>
      </rPr>
      <t>A</t>
    </r>
  </si>
  <si>
    <r>
      <t>R</t>
    </r>
    <r>
      <rPr>
        <vertAlign val="subscript"/>
        <sz val="10"/>
        <rFont val="Arial"/>
        <family val="2"/>
      </rPr>
      <t>LOAD</t>
    </r>
    <r>
      <rPr>
        <sz val="10"/>
        <rFont val="Arial"/>
        <family val="2"/>
      </rPr>
      <t xml:space="preserve"> during SS</t>
    </r>
  </si>
  <si>
    <r>
      <t>W</t>
    </r>
    <r>
      <rPr>
        <sz val="10"/>
        <rFont val="Arial"/>
        <family val="2"/>
      </rPr>
      <t>, V</t>
    </r>
    <r>
      <rPr>
        <vertAlign val="subscript"/>
        <sz val="10"/>
        <rFont val="Arial"/>
        <family val="2"/>
      </rPr>
      <t>OUT</t>
    </r>
    <r>
      <rPr>
        <vertAlign val="superscript"/>
        <sz val="10"/>
        <rFont val="Arial"/>
        <family val="2"/>
      </rPr>
      <t>2</t>
    </r>
    <r>
      <rPr>
        <sz val="10"/>
        <rFont val="Arial"/>
        <family val="2"/>
      </rPr>
      <t>/P</t>
    </r>
    <r>
      <rPr>
        <vertAlign val="subscript"/>
        <sz val="10"/>
        <rFont val="Arial"/>
        <family val="2"/>
      </rPr>
      <t>OUT</t>
    </r>
    <r>
      <rPr>
        <sz val="10"/>
        <rFont val="Arial"/>
        <family val="2"/>
      </rPr>
      <t xml:space="preserve"> during SS</t>
    </r>
  </si>
  <si>
    <r>
      <t>C</t>
    </r>
    <r>
      <rPr>
        <vertAlign val="subscript"/>
        <sz val="10"/>
        <rFont val="Arial"/>
        <family val="2"/>
      </rPr>
      <t>OSS</t>
    </r>
    <r>
      <rPr>
        <sz val="10"/>
        <rFont val="Arial"/>
        <family val="2"/>
      </rPr>
      <t xml:space="preserve"> estimate, at V</t>
    </r>
    <r>
      <rPr>
        <vertAlign val="subscript"/>
        <sz val="10"/>
        <rFont val="Arial"/>
        <family val="2"/>
      </rPr>
      <t>DS</t>
    </r>
    <r>
      <rPr>
        <sz val="10"/>
        <rFont val="Arial"/>
        <family val="2"/>
      </rPr>
      <t xml:space="preserve"> test V</t>
    </r>
  </si>
  <si>
    <r>
      <t>V</t>
    </r>
    <r>
      <rPr>
        <vertAlign val="subscript"/>
        <sz val="10"/>
        <rFont val="Arial"/>
        <family val="2"/>
      </rPr>
      <t>FB</t>
    </r>
    <r>
      <rPr>
        <sz val="10"/>
        <rFont val="Arial"/>
        <family val="2"/>
      </rPr>
      <t xml:space="preserve"> at Burst/FFM boundary</t>
    </r>
  </si>
  <si>
    <r>
      <t>V</t>
    </r>
    <r>
      <rPr>
        <vertAlign val="subscript"/>
        <sz val="10"/>
        <rFont val="Arial"/>
        <family val="2"/>
      </rPr>
      <t>PL</t>
    </r>
    <r>
      <rPr>
        <sz val="10"/>
        <rFont val="Arial"/>
        <family val="2"/>
      </rPr>
      <t>, power limit</t>
    </r>
  </si>
  <si>
    <t>V, typical CS value during power limit</t>
  </si>
  <si>
    <r>
      <t>V</t>
    </r>
    <r>
      <rPr>
        <vertAlign val="subscript"/>
        <sz val="10"/>
        <rFont val="Arial"/>
        <family val="2"/>
      </rPr>
      <t xml:space="preserve">CS(OS), </t>
    </r>
    <r>
      <rPr>
        <sz val="10"/>
        <rFont val="Arial"/>
        <family val="2"/>
      </rPr>
      <t>CS offset volts</t>
    </r>
  </si>
  <si>
    <r>
      <t>A</t>
    </r>
    <r>
      <rPr>
        <vertAlign val="subscript"/>
        <sz val="10"/>
        <rFont val="Arial"/>
        <family val="2"/>
      </rPr>
      <t>CS(FB)</t>
    </r>
  </si>
  <si>
    <t>V, typ value from data sheet</t>
  </si>
  <si>
    <t>V, CS working range</t>
  </si>
  <si>
    <r>
      <t>V</t>
    </r>
    <r>
      <rPr>
        <vertAlign val="subscript"/>
        <sz val="10"/>
        <rFont val="Arial"/>
        <family val="2"/>
      </rPr>
      <t xml:space="preserve">PL </t>
    </r>
    <r>
      <rPr>
        <sz val="10"/>
        <rFont val="Arial"/>
        <family val="2"/>
      </rPr>
      <t>- V</t>
    </r>
    <r>
      <rPr>
        <vertAlign val="subscript"/>
        <sz val="10"/>
        <rFont val="Arial"/>
        <family val="2"/>
      </rPr>
      <t>CS(OS)</t>
    </r>
  </si>
  <si>
    <r>
      <t>V, V</t>
    </r>
    <r>
      <rPr>
        <vertAlign val="subscript"/>
        <sz val="10"/>
        <rFont val="Arial"/>
        <family val="2"/>
      </rPr>
      <t>PL</t>
    </r>
    <r>
      <rPr>
        <sz val="10"/>
        <rFont val="Arial"/>
        <family val="2"/>
      </rPr>
      <t xml:space="preserve">  X A</t>
    </r>
    <r>
      <rPr>
        <vertAlign val="subscript"/>
        <sz val="10"/>
        <rFont val="Arial"/>
        <family val="2"/>
      </rPr>
      <t>CS(FB)</t>
    </r>
    <r>
      <rPr>
        <sz val="10"/>
        <rFont val="Arial"/>
        <family val="2"/>
      </rPr>
      <t xml:space="preserve"> </t>
    </r>
  </si>
  <si>
    <r>
      <t>V</t>
    </r>
    <r>
      <rPr>
        <vertAlign val="subscript"/>
        <sz val="10"/>
        <rFont val="Arial"/>
        <family val="2"/>
      </rPr>
      <t>FB</t>
    </r>
    <r>
      <rPr>
        <sz val="10"/>
        <rFont val="Arial"/>
        <family val="2"/>
      </rPr>
      <t xml:space="preserve"> at FFM boundary</t>
    </r>
  </si>
  <si>
    <r>
      <t>f</t>
    </r>
    <r>
      <rPr>
        <vertAlign val="subscript"/>
        <sz val="10"/>
        <rFont val="Arial"/>
        <family val="2"/>
      </rPr>
      <t>QR(max)</t>
    </r>
    <r>
      <rPr>
        <sz val="10"/>
        <rFont val="Arial"/>
        <family val="2"/>
      </rPr>
      <t xml:space="preserve"> clamp</t>
    </r>
  </si>
  <si>
    <r>
      <t>f</t>
    </r>
    <r>
      <rPr>
        <vertAlign val="subscript"/>
        <sz val="10"/>
        <rFont val="Arial"/>
        <family val="2"/>
      </rPr>
      <t>QR(min)</t>
    </r>
    <r>
      <rPr>
        <sz val="10"/>
        <rFont val="Arial"/>
        <family val="2"/>
      </rPr>
      <t xml:space="preserve"> clamp</t>
    </r>
  </si>
  <si>
    <r>
      <t>I</t>
    </r>
    <r>
      <rPr>
        <vertAlign val="subscript"/>
        <sz val="10"/>
        <rFont val="Arial"/>
        <family val="2"/>
      </rPr>
      <t>OVP(line)</t>
    </r>
  </si>
  <si>
    <r>
      <t>V</t>
    </r>
    <r>
      <rPr>
        <vertAlign val="subscript"/>
        <sz val="10"/>
        <rFont val="Arial"/>
        <family val="2"/>
      </rPr>
      <t>OVP(on)</t>
    </r>
    <r>
      <rPr>
        <sz val="10"/>
        <rFont val="Arial"/>
        <family val="2"/>
      </rPr>
      <t>, ON state</t>
    </r>
  </si>
  <si>
    <r>
      <t>I</t>
    </r>
    <r>
      <rPr>
        <vertAlign val="subscript"/>
        <sz val="10"/>
        <rFont val="Arial"/>
        <family val="2"/>
      </rPr>
      <t>PL(CS)</t>
    </r>
    <r>
      <rPr>
        <sz val="10"/>
        <rFont val="Arial"/>
        <family val="2"/>
      </rPr>
      <t>/I</t>
    </r>
    <r>
      <rPr>
        <vertAlign val="subscript"/>
        <sz val="10"/>
        <rFont val="Arial"/>
        <family val="2"/>
      </rPr>
      <t>OVPon)</t>
    </r>
    <r>
      <rPr>
        <sz val="10"/>
        <rFont val="Arial"/>
        <family val="2"/>
      </rPr>
      <t>, current gain during OUT = ON state</t>
    </r>
  </si>
  <si>
    <r>
      <t>V, typ V</t>
    </r>
    <r>
      <rPr>
        <vertAlign val="subscript"/>
        <sz val="10"/>
        <rFont val="Arial"/>
        <family val="2"/>
      </rPr>
      <t>OVP</t>
    </r>
    <r>
      <rPr>
        <sz val="10"/>
        <rFont val="Arial"/>
        <family val="2"/>
      </rPr>
      <t xml:space="preserve">  OUT = HIGH</t>
    </r>
  </si>
  <si>
    <r>
      <t>V</t>
    </r>
    <r>
      <rPr>
        <vertAlign val="subscript"/>
        <sz val="10"/>
        <rFont val="Arial"/>
        <family val="2"/>
      </rPr>
      <t>OVP(load)</t>
    </r>
  </si>
  <si>
    <r>
      <t>W</t>
    </r>
    <r>
      <rPr>
        <sz val="10"/>
        <rFont val="Arial"/>
        <family val="2"/>
      </rPr>
      <t>, internal to chip</t>
    </r>
  </si>
  <si>
    <r>
      <t>V, = V</t>
    </r>
    <r>
      <rPr>
        <vertAlign val="subscript"/>
        <sz val="10"/>
        <rFont val="Arial"/>
        <family val="2"/>
      </rPr>
      <t>REF</t>
    </r>
    <r>
      <rPr>
        <sz val="10"/>
        <rFont val="Arial"/>
        <family val="2"/>
      </rPr>
      <t xml:space="preserve"> in chip, @ no load</t>
    </r>
  </si>
  <si>
    <r>
      <t>Gain,  V</t>
    </r>
    <r>
      <rPr>
        <vertAlign val="subscript"/>
        <sz val="10"/>
        <rFont val="Arial"/>
        <family val="2"/>
      </rPr>
      <t>FB</t>
    </r>
    <r>
      <rPr>
        <sz val="10"/>
        <rFont val="Arial"/>
        <family val="2"/>
      </rPr>
      <t>/V</t>
    </r>
    <r>
      <rPr>
        <vertAlign val="subscript"/>
        <sz val="10"/>
        <rFont val="Arial"/>
        <family val="2"/>
      </rPr>
      <t>CS</t>
    </r>
  </si>
  <si>
    <r>
      <t>V</t>
    </r>
    <r>
      <rPr>
        <vertAlign val="subscript"/>
        <sz val="10"/>
        <rFont val="Arial"/>
        <family val="2"/>
      </rPr>
      <t>CS</t>
    </r>
    <r>
      <rPr>
        <sz val="10"/>
        <rFont val="Arial"/>
        <family val="2"/>
      </rPr>
      <t xml:space="preserve"> at DCM/FFM</t>
    </r>
  </si>
  <si>
    <r>
      <t>V, (V</t>
    </r>
    <r>
      <rPr>
        <vertAlign val="subscript"/>
        <sz val="10"/>
        <rFont val="Arial"/>
        <family val="2"/>
      </rPr>
      <t>FB</t>
    </r>
    <r>
      <rPr>
        <sz val="10"/>
        <rFont val="Arial"/>
        <family val="2"/>
      </rPr>
      <t>/A</t>
    </r>
    <r>
      <rPr>
        <vertAlign val="subscript"/>
        <sz val="10"/>
        <rFont val="Arial"/>
        <family val="2"/>
      </rPr>
      <t>CS(FB)</t>
    </r>
    <r>
      <rPr>
        <sz val="10"/>
        <rFont val="Arial"/>
        <family val="2"/>
      </rPr>
      <t>) - V</t>
    </r>
    <r>
      <rPr>
        <vertAlign val="subscript"/>
        <sz val="10"/>
        <rFont val="Arial"/>
        <family val="2"/>
      </rPr>
      <t>CS(OS)</t>
    </r>
  </si>
  <si>
    <r>
      <t>V</t>
    </r>
    <r>
      <rPr>
        <vertAlign val="subscript"/>
        <sz val="10"/>
        <rFont val="Arial"/>
        <family val="2"/>
      </rPr>
      <t>CO</t>
    </r>
    <r>
      <rPr>
        <sz val="10"/>
        <rFont val="Arial"/>
        <family val="2"/>
      </rPr>
      <t xml:space="preserve"> gain, T</t>
    </r>
    <r>
      <rPr>
        <vertAlign val="subscript"/>
        <sz val="10"/>
        <rFont val="Arial"/>
        <family val="2"/>
      </rPr>
      <t>S</t>
    </r>
    <r>
      <rPr>
        <sz val="10"/>
        <rFont val="Arial"/>
        <family val="2"/>
      </rPr>
      <t>/V</t>
    </r>
    <r>
      <rPr>
        <vertAlign val="subscript"/>
        <sz val="10"/>
        <rFont val="Arial"/>
        <family val="2"/>
      </rPr>
      <t>FB</t>
    </r>
  </si>
  <si>
    <r>
      <t>V</t>
    </r>
    <r>
      <rPr>
        <vertAlign val="subscript"/>
        <sz val="10"/>
        <rFont val="Arial"/>
        <family val="2"/>
      </rPr>
      <t>CO</t>
    </r>
    <r>
      <rPr>
        <sz val="10"/>
        <rFont val="Arial"/>
        <family val="2"/>
      </rPr>
      <t xml:space="preserve"> offset, T</t>
    </r>
    <r>
      <rPr>
        <vertAlign val="subscript"/>
        <sz val="10"/>
        <rFont val="Arial"/>
        <family val="2"/>
      </rPr>
      <t>S</t>
    </r>
    <r>
      <rPr>
        <sz val="10"/>
        <rFont val="Arial"/>
        <family val="2"/>
      </rPr>
      <t>(V</t>
    </r>
    <r>
      <rPr>
        <vertAlign val="subscript"/>
        <sz val="10"/>
        <rFont val="Arial"/>
        <family val="2"/>
      </rPr>
      <t xml:space="preserve">FB </t>
    </r>
    <r>
      <rPr>
        <sz val="10"/>
        <rFont val="Arial"/>
        <family val="2"/>
      </rPr>
      <t>= 0)</t>
    </r>
  </si>
  <si>
    <r>
      <t>I</t>
    </r>
    <r>
      <rPr>
        <vertAlign val="subscript"/>
        <sz val="10"/>
        <rFont val="Arial"/>
        <family val="2"/>
      </rPr>
      <t>SS(chg)</t>
    </r>
  </si>
  <si>
    <t>A, SS charge current</t>
  </si>
  <si>
    <r>
      <t>t</t>
    </r>
    <r>
      <rPr>
        <vertAlign val="subscript"/>
        <sz val="10"/>
        <rFont val="Arial"/>
        <family val="2"/>
      </rPr>
      <t>OFF</t>
    </r>
    <r>
      <rPr>
        <sz val="10"/>
        <rFont val="Arial"/>
        <family val="2"/>
      </rPr>
      <t xml:space="preserve"> / sqrt(L)</t>
    </r>
  </si>
  <si>
    <r>
      <t>Vv, valley V</t>
    </r>
    <r>
      <rPr>
        <b/>
        <vertAlign val="subscript"/>
        <sz val="10"/>
        <rFont val="Arial"/>
        <family val="2"/>
      </rPr>
      <t>DS</t>
    </r>
  </si>
  <si>
    <r>
      <t>I</t>
    </r>
    <r>
      <rPr>
        <vertAlign val="subscript"/>
        <sz val="10"/>
        <rFont val="Arial"/>
        <family val="2"/>
      </rPr>
      <t>CS1</t>
    </r>
  </si>
  <si>
    <r>
      <t>I</t>
    </r>
    <r>
      <rPr>
        <vertAlign val="subscript"/>
        <sz val="10"/>
        <rFont val="Arial"/>
        <family val="2"/>
      </rPr>
      <t>CS2</t>
    </r>
  </si>
  <si>
    <r>
      <t>I</t>
    </r>
    <r>
      <rPr>
        <vertAlign val="subscript"/>
        <sz val="10"/>
        <rFont val="Arial"/>
        <family val="2"/>
      </rPr>
      <t>P1</t>
    </r>
  </si>
  <si>
    <r>
      <t>I</t>
    </r>
    <r>
      <rPr>
        <vertAlign val="subscript"/>
        <sz val="10"/>
        <rFont val="Arial"/>
        <family val="2"/>
      </rPr>
      <t>P2</t>
    </r>
  </si>
  <si>
    <r>
      <t>turns, N</t>
    </r>
    <r>
      <rPr>
        <vertAlign val="subscript"/>
        <sz val="10"/>
        <rFont val="Arial"/>
        <family val="2"/>
      </rPr>
      <t>BIAS</t>
    </r>
    <r>
      <rPr>
        <sz val="10"/>
        <rFont val="Arial"/>
        <family val="2"/>
      </rPr>
      <t xml:space="preserve"> = N*(V</t>
    </r>
    <r>
      <rPr>
        <vertAlign val="subscript"/>
        <sz val="10"/>
        <rFont val="Arial"/>
        <family val="2"/>
      </rPr>
      <t>OUT</t>
    </r>
    <r>
      <rPr>
        <sz val="10"/>
        <rFont val="Arial"/>
        <family val="2"/>
      </rPr>
      <t>/V</t>
    </r>
    <r>
      <rPr>
        <vertAlign val="subscript"/>
        <sz val="10"/>
        <rFont val="Arial"/>
        <family val="2"/>
      </rPr>
      <t>BIAS</t>
    </r>
    <r>
      <rPr>
        <sz val="10"/>
        <rFont val="Arial"/>
        <family val="2"/>
      </rPr>
      <t>)</t>
    </r>
  </si>
  <si>
    <r>
      <t>R</t>
    </r>
    <r>
      <rPr>
        <vertAlign val="subscript"/>
        <sz val="10"/>
        <rFont val="Arial"/>
        <family val="2"/>
      </rPr>
      <t>CS</t>
    </r>
    <r>
      <rPr>
        <sz val="10"/>
        <rFont val="Arial"/>
        <family val="2"/>
      </rPr>
      <t/>
    </r>
  </si>
  <si>
    <r>
      <t>V</t>
    </r>
    <r>
      <rPr>
        <vertAlign val="subscript"/>
        <sz val="10"/>
        <rFont val="Arial"/>
        <family val="2"/>
      </rPr>
      <t>Rcs</t>
    </r>
    <r>
      <rPr>
        <sz val="10"/>
        <rFont val="Arial"/>
        <family val="2"/>
      </rPr>
      <t>, peak</t>
    </r>
  </si>
  <si>
    <r>
      <t>V</t>
    </r>
    <r>
      <rPr>
        <vertAlign val="subscript"/>
        <sz val="10"/>
        <rFont val="Arial"/>
        <family val="2"/>
      </rPr>
      <t>Rpl</t>
    </r>
    <r>
      <rPr>
        <sz val="10"/>
        <rFont val="Arial"/>
        <family val="2"/>
      </rPr>
      <t>, min line</t>
    </r>
  </si>
  <si>
    <r>
      <t>P</t>
    </r>
    <r>
      <rPr>
        <vertAlign val="subscript"/>
        <sz val="10"/>
        <rFont val="Arial"/>
        <family val="2"/>
      </rPr>
      <t>Rcs</t>
    </r>
  </si>
  <si>
    <r>
      <t>V</t>
    </r>
    <r>
      <rPr>
        <vertAlign val="subscript"/>
        <sz val="10"/>
        <rFont val="Arial"/>
        <family val="2"/>
      </rPr>
      <t>Rpl</t>
    </r>
    <r>
      <rPr>
        <sz val="10"/>
        <rFont val="Arial"/>
        <family val="2"/>
      </rPr>
      <t>, max line</t>
    </r>
  </si>
  <si>
    <r>
      <t>R</t>
    </r>
    <r>
      <rPr>
        <b/>
        <vertAlign val="subscript"/>
        <sz val="10"/>
        <rFont val="Arial"/>
        <family val="2"/>
      </rPr>
      <t>S</t>
    </r>
    <r>
      <rPr>
        <b/>
        <sz val="10"/>
        <rFont val="Arial"/>
        <family val="2"/>
      </rPr>
      <t xml:space="preserve"> and R</t>
    </r>
    <r>
      <rPr>
        <b/>
        <vertAlign val="subscript"/>
        <sz val="10"/>
        <rFont val="Arial"/>
        <family val="2"/>
      </rPr>
      <t>PL</t>
    </r>
    <r>
      <rPr>
        <b/>
        <sz val="10"/>
        <rFont val="Arial"/>
        <family val="2"/>
      </rPr>
      <t xml:space="preserve"> Values to Achieve I</t>
    </r>
    <r>
      <rPr>
        <b/>
        <vertAlign val="subscript"/>
        <sz val="10"/>
        <rFont val="Arial"/>
        <family val="2"/>
      </rPr>
      <t>P</t>
    </r>
    <r>
      <rPr>
        <b/>
        <sz val="10"/>
        <rFont val="Arial"/>
        <family val="2"/>
      </rPr>
      <t xml:space="preserve"> and I</t>
    </r>
    <r>
      <rPr>
        <b/>
        <vertAlign val="subscript"/>
        <sz val="10"/>
        <rFont val="Arial"/>
        <family val="2"/>
      </rPr>
      <t>CS</t>
    </r>
    <r>
      <rPr>
        <b/>
        <sz val="10"/>
        <rFont val="Arial"/>
        <family val="2"/>
      </rPr>
      <t/>
    </r>
  </si>
  <si>
    <r>
      <t>P</t>
    </r>
    <r>
      <rPr>
        <vertAlign val="subscript"/>
        <sz val="10"/>
        <rFont val="Arial"/>
        <family val="2"/>
      </rPr>
      <t>Rsnub1</t>
    </r>
  </si>
  <si>
    <r>
      <t>R</t>
    </r>
    <r>
      <rPr>
        <vertAlign val="subscript"/>
        <sz val="10"/>
        <rFont val="Arial"/>
        <family val="2"/>
      </rPr>
      <t>SNUB2</t>
    </r>
    <r>
      <rPr>
        <sz val="10"/>
        <rFont val="Arial"/>
        <family val="2"/>
      </rPr>
      <t/>
    </r>
  </si>
  <si>
    <r>
      <t>A</t>
    </r>
    <r>
      <rPr>
        <vertAlign val="subscript"/>
        <sz val="10"/>
        <rFont val="Arial"/>
        <family val="2"/>
      </rPr>
      <t>RMS</t>
    </r>
  </si>
  <si>
    <r>
      <t>A</t>
    </r>
    <r>
      <rPr>
        <vertAlign val="subscript"/>
        <sz val="10"/>
        <rFont val="Arial"/>
        <family val="2"/>
      </rPr>
      <t>PEAK</t>
    </r>
  </si>
  <si>
    <r>
      <t>A</t>
    </r>
    <r>
      <rPr>
        <vertAlign val="subscript"/>
        <sz val="10"/>
        <rFont val="Arial"/>
        <family val="2"/>
      </rPr>
      <t>RMS</t>
    </r>
    <r>
      <rPr>
        <sz val="10"/>
        <rFont val="Arial"/>
        <family val="2"/>
      </rPr>
      <t>, for non-PFC design</t>
    </r>
  </si>
  <si>
    <r>
      <t>R</t>
    </r>
    <r>
      <rPr>
        <vertAlign val="subscript"/>
        <sz val="10"/>
        <rFont val="Arial"/>
        <family val="2"/>
      </rPr>
      <t>CS</t>
    </r>
  </si>
  <si>
    <r>
      <t>R</t>
    </r>
    <r>
      <rPr>
        <vertAlign val="superscript"/>
        <sz val="10"/>
        <rFont val="Arial"/>
        <family val="2"/>
      </rPr>
      <t>2</t>
    </r>
    <r>
      <rPr>
        <sz val="10"/>
        <rFont val="Arial"/>
        <family val="2"/>
      </rPr>
      <t>CD snubber</t>
    </r>
  </si>
  <si>
    <r>
      <t>L</t>
    </r>
    <r>
      <rPr>
        <vertAlign val="subscript"/>
        <sz val="10"/>
        <rFont val="Arial"/>
        <family val="2"/>
      </rPr>
      <t>LEAKAGE</t>
    </r>
  </si>
  <si>
    <r>
      <t>A</t>
    </r>
    <r>
      <rPr>
        <b/>
        <vertAlign val="subscript"/>
        <sz val="10"/>
        <rFont val="Arial"/>
        <family val="2"/>
      </rPr>
      <t>RMS</t>
    </r>
  </si>
  <si>
    <r>
      <t>V</t>
    </r>
    <r>
      <rPr>
        <vertAlign val="subscript"/>
        <sz val="10"/>
        <rFont val="Arial"/>
        <family val="2"/>
      </rPr>
      <t>AC(max) **</t>
    </r>
  </si>
  <si>
    <r>
      <t>- **</t>
    </r>
    <r>
      <rPr>
        <b/>
        <sz val="10"/>
        <rFont val="Arial"/>
        <family val="2"/>
      </rPr>
      <t>For systems with a PFC front end, the V</t>
    </r>
    <r>
      <rPr>
        <b/>
        <vertAlign val="subscript"/>
        <sz val="10"/>
        <rFont val="Arial"/>
        <family val="2"/>
      </rPr>
      <t>AC(max)</t>
    </r>
    <r>
      <rPr>
        <b/>
        <sz val="10"/>
        <rFont val="Arial"/>
        <family val="2"/>
      </rPr>
      <t xml:space="preserve"> value entered into cell C15 should be equivalent to the maximum regulated output voltage of the PFC stage divided by SQRT(2), as calculated by the USER, otherwise, for systems that DO NOT have a PFC input stage, enter the maximum AC line input voltage. (enter, in VAC, in cell C15)</t>
    </r>
  </si>
  <si>
    <t>Comments on REQUIRED USER INPUTS:</t>
  </si>
  <si>
    <r>
      <t xml:space="preserve">- </t>
    </r>
    <r>
      <rPr>
        <b/>
        <sz val="10"/>
        <rFont val="Arial"/>
        <family val="2"/>
      </rPr>
      <t>P</t>
    </r>
    <r>
      <rPr>
        <b/>
        <vertAlign val="subscript"/>
        <sz val="10"/>
        <rFont val="Arial"/>
        <family val="2"/>
      </rPr>
      <t>OUT(max)</t>
    </r>
    <r>
      <rPr>
        <b/>
        <sz val="10"/>
        <rFont val="Arial"/>
        <family val="2"/>
      </rPr>
      <t xml:space="preserve"> limit</t>
    </r>
    <r>
      <rPr>
        <sz val="10"/>
        <rFont val="Arial"/>
        <family val="2"/>
      </rPr>
      <t xml:space="preserve"> is maximum output power of converter (enter, in W, into cell C10)</t>
    </r>
  </si>
  <si>
    <r>
      <t xml:space="preserve">- </t>
    </r>
    <r>
      <rPr>
        <b/>
        <sz val="10"/>
        <rFont val="Arial"/>
        <family val="2"/>
      </rPr>
      <t>efficiency ratio</t>
    </r>
    <r>
      <rPr>
        <sz val="10"/>
        <rFont val="Arial"/>
        <family val="2"/>
      </rPr>
      <t xml:space="preserve"> is the Expected converter efficiency (enter, in decimal form, in cell C12)</t>
    </r>
  </si>
  <si>
    <r>
      <t xml:space="preserve">- </t>
    </r>
    <r>
      <rPr>
        <b/>
        <sz val="10"/>
        <rFont val="Arial"/>
        <family val="2"/>
      </rPr>
      <t>V</t>
    </r>
    <r>
      <rPr>
        <b/>
        <vertAlign val="subscript"/>
        <sz val="10"/>
        <rFont val="Arial"/>
        <family val="2"/>
      </rPr>
      <t>AC(min)</t>
    </r>
    <r>
      <rPr>
        <sz val="10"/>
        <rFont val="Arial"/>
        <family val="2"/>
      </rPr>
      <t xml:space="preserve"> is the minimum AC line input voltage (enter, in VAC, in cell C14)</t>
    </r>
  </si>
  <si>
    <r>
      <t xml:space="preserve">- </t>
    </r>
    <r>
      <rPr>
        <b/>
        <sz val="10"/>
        <rFont val="Arial"/>
        <family val="2"/>
      </rPr>
      <t>V</t>
    </r>
    <r>
      <rPr>
        <b/>
        <vertAlign val="subscript"/>
        <sz val="10"/>
        <rFont val="Arial"/>
        <family val="2"/>
      </rPr>
      <t>OUT</t>
    </r>
    <r>
      <rPr>
        <sz val="10"/>
        <rFont val="Arial"/>
        <family val="2"/>
      </rPr>
      <t xml:space="preserve"> is the regulated output voltage of the converter (enter, in Volts, in cell C19)</t>
    </r>
  </si>
  <si>
    <r>
      <t xml:space="preserve">- </t>
    </r>
    <r>
      <rPr>
        <b/>
        <sz val="10"/>
        <rFont val="Arial"/>
        <family val="2"/>
      </rPr>
      <t>V</t>
    </r>
    <r>
      <rPr>
        <b/>
        <vertAlign val="subscript"/>
        <sz val="10"/>
        <rFont val="Arial"/>
        <family val="2"/>
      </rPr>
      <t>OUT(ripple)</t>
    </r>
    <r>
      <rPr>
        <b/>
        <sz val="10"/>
        <rFont val="Arial"/>
        <family val="2"/>
      </rPr>
      <t>, max pp</t>
    </r>
    <r>
      <rPr>
        <sz val="10"/>
        <rFont val="Arial"/>
        <family val="2"/>
      </rPr>
      <t xml:space="preserve"> is the maximum peak to peak output ripple of the converter output, i.e. usually equal to 1% of the regulated output voltage (enter, in Volts, in cell C20)</t>
    </r>
  </si>
  <si>
    <r>
      <t xml:space="preserve">- </t>
    </r>
    <r>
      <rPr>
        <b/>
        <sz val="10"/>
        <rFont val="Arial"/>
        <family val="2"/>
      </rPr>
      <t>Load step</t>
    </r>
    <r>
      <rPr>
        <sz val="10"/>
        <rFont val="Arial"/>
        <family val="2"/>
      </rPr>
      <t xml:space="preserve"> is the maximum output load transient, in Watts, i.e. no-load to full load (enter, in Watts, in cell C22)</t>
    </r>
  </si>
  <si>
    <r>
      <t xml:space="preserve">- </t>
    </r>
    <r>
      <rPr>
        <b/>
        <sz val="10"/>
        <rFont val="Arial"/>
        <family val="2"/>
      </rPr>
      <t>estimated f</t>
    </r>
    <r>
      <rPr>
        <b/>
        <vertAlign val="subscript"/>
        <sz val="10"/>
        <rFont val="Arial"/>
        <family val="2"/>
      </rPr>
      <t>CO</t>
    </r>
    <r>
      <rPr>
        <sz val="10"/>
        <rFont val="Arial"/>
        <family val="2"/>
      </rPr>
      <t xml:space="preserve"> is the desired crossover frequency of the control loop, usually between 2kHz and 3kHz (enter, in Hertz such as 3.0E+3, in cell C24)</t>
    </r>
  </si>
  <si>
    <r>
      <t xml:space="preserve">- </t>
    </r>
    <r>
      <rPr>
        <b/>
        <sz val="10"/>
        <rFont val="Arial"/>
        <family val="2"/>
      </rPr>
      <t>V</t>
    </r>
    <r>
      <rPr>
        <b/>
        <vertAlign val="subscript"/>
        <sz val="10"/>
        <rFont val="Arial"/>
        <family val="2"/>
      </rPr>
      <t>DS(max)</t>
    </r>
    <r>
      <rPr>
        <b/>
        <sz val="10"/>
        <rFont val="Arial"/>
        <family val="2"/>
      </rPr>
      <t xml:space="preserve"> rating</t>
    </r>
    <r>
      <rPr>
        <sz val="10"/>
        <rFont val="Arial"/>
        <family val="2"/>
      </rPr>
      <t xml:space="preserve"> is the chosen FET's drain to Source maximum voltage rating (enter, as Volts, in cell C30)</t>
    </r>
  </si>
  <si>
    <t>The User selects a MOSFET for the design and inputs the FET's characteristics:</t>
  </si>
  <si>
    <r>
      <t xml:space="preserve">- </t>
    </r>
    <r>
      <rPr>
        <b/>
        <sz val="10"/>
        <rFont val="Arial"/>
        <family val="2"/>
      </rPr>
      <t>V</t>
    </r>
    <r>
      <rPr>
        <b/>
        <vertAlign val="subscript"/>
        <sz val="10"/>
        <rFont val="Arial"/>
        <family val="2"/>
      </rPr>
      <t>DS</t>
    </r>
    <r>
      <rPr>
        <b/>
        <sz val="10"/>
        <rFont val="Arial"/>
        <family val="2"/>
      </rPr>
      <t xml:space="preserve"> derate %</t>
    </r>
    <r>
      <rPr>
        <sz val="10"/>
        <rFont val="Arial"/>
        <family val="2"/>
      </rPr>
      <t xml:space="preserve"> is the User chosen derating (for safety margin) of the V</t>
    </r>
    <r>
      <rPr>
        <vertAlign val="subscript"/>
        <sz val="10"/>
        <rFont val="Arial"/>
        <family val="2"/>
      </rPr>
      <t>DS</t>
    </r>
    <r>
      <rPr>
        <sz val="10"/>
        <rFont val="Arial"/>
        <family val="2"/>
      </rPr>
      <t xml:space="preserve"> voltage on the FET (enter, as a percentage, in cell C31)</t>
    </r>
  </si>
  <si>
    <r>
      <t>R</t>
    </r>
    <r>
      <rPr>
        <vertAlign val="subscript"/>
        <sz val="10"/>
        <rFont val="Arial"/>
        <family val="2"/>
      </rPr>
      <t>LOAD</t>
    </r>
    <r>
      <rPr>
        <sz val="10"/>
        <rFont val="Arial"/>
        <family val="2"/>
      </rPr>
      <t xml:space="preserve"> during SS =</t>
    </r>
  </si>
  <si>
    <r>
      <t>V</t>
    </r>
    <r>
      <rPr>
        <vertAlign val="subscript"/>
        <sz val="10"/>
        <rFont val="Arial"/>
        <family val="2"/>
      </rPr>
      <t xml:space="preserve">BULK(min_pk) </t>
    </r>
    <r>
      <rPr>
        <sz val="10"/>
        <rFont val="Arial"/>
        <family val="2"/>
      </rPr>
      <t>=</t>
    </r>
  </si>
  <si>
    <r>
      <t>V</t>
    </r>
    <r>
      <rPr>
        <vertAlign val="subscript"/>
        <sz val="10"/>
        <rFont val="Arial"/>
        <family val="2"/>
      </rPr>
      <t xml:space="preserve">BULK(min_valley) </t>
    </r>
    <r>
      <rPr>
        <sz val="10"/>
        <rFont val="Arial"/>
        <family val="2"/>
      </rPr>
      <t>=</t>
    </r>
  </si>
  <si>
    <r>
      <t>V</t>
    </r>
    <r>
      <rPr>
        <vertAlign val="subscript"/>
        <sz val="10"/>
        <rFont val="Arial"/>
        <family val="2"/>
      </rPr>
      <t>BULK(max_pk)</t>
    </r>
    <r>
      <rPr>
        <sz val="10"/>
        <rFont val="Arial"/>
        <family val="2"/>
      </rPr>
      <t xml:space="preserve"> =</t>
    </r>
  </si>
  <si>
    <r>
      <t>T</t>
    </r>
    <r>
      <rPr>
        <vertAlign val="subscript"/>
        <sz val="10"/>
        <rFont val="Arial"/>
        <family val="2"/>
      </rPr>
      <t xml:space="preserve">S(min) </t>
    </r>
    <r>
      <rPr>
        <sz val="10"/>
        <rFont val="Arial"/>
        <family val="2"/>
      </rPr>
      <t>=</t>
    </r>
  </si>
  <si>
    <r>
      <t>P</t>
    </r>
    <r>
      <rPr>
        <vertAlign val="subscript"/>
        <sz val="10"/>
        <rFont val="Arial"/>
        <family val="2"/>
      </rPr>
      <t xml:space="preserve">IN </t>
    </r>
    <r>
      <rPr>
        <sz val="10"/>
        <rFont val="Arial"/>
        <family val="2"/>
      </rPr>
      <t>=</t>
    </r>
  </si>
  <si>
    <r>
      <t>V</t>
    </r>
    <r>
      <rPr>
        <vertAlign val="subscript"/>
        <sz val="10"/>
        <rFont val="Arial"/>
        <family val="2"/>
      </rPr>
      <t>DS(max)</t>
    </r>
    <r>
      <rPr>
        <sz val="10"/>
        <rFont val="Arial"/>
        <family val="2"/>
      </rPr>
      <t xml:space="preserve"> limit =</t>
    </r>
  </si>
  <si>
    <t>Co', F-sqrt(V) =</t>
  </si>
  <si>
    <t>Leakage to magnetizing inductance ratio =</t>
  </si>
  <si>
    <t>- Resultant maximum allowed voltage on switch due to User selected derating</t>
  </si>
  <si>
    <r>
      <t xml:space="preserve">- </t>
    </r>
    <r>
      <rPr>
        <b/>
        <sz val="10"/>
        <rFont val="Arial"/>
        <family val="2"/>
      </rPr>
      <t>Leakage to magnetizing inductance %</t>
    </r>
    <r>
      <rPr>
        <sz val="10"/>
        <rFont val="Arial"/>
        <family val="2"/>
      </rPr>
      <t xml:space="preserve"> is the desired magnetizing inductance of the Flyback transformer (enter, as a percent, in cell C39)</t>
    </r>
  </si>
  <si>
    <r>
      <t xml:space="preserve">- </t>
    </r>
    <r>
      <rPr>
        <b/>
        <sz val="10"/>
        <rFont val="Arial"/>
        <family val="2"/>
      </rPr>
      <t>V</t>
    </r>
    <r>
      <rPr>
        <b/>
        <vertAlign val="subscript"/>
        <sz val="10"/>
        <rFont val="Arial"/>
        <family val="2"/>
      </rPr>
      <t>F</t>
    </r>
    <r>
      <rPr>
        <sz val="10"/>
        <rFont val="Arial"/>
        <family val="2"/>
      </rPr>
      <t xml:space="preserve"> is the forward voltage drop of the User-selected output rectifier as found in the rectifier data sheet (enter, as a voltage, in cell C43)</t>
    </r>
  </si>
  <si>
    <t xml:space="preserve">- The parameters within the blue box are internal to the UCC28600 and are not User programmable. </t>
  </si>
  <si>
    <t>- calculated allowable reflected output voltage</t>
  </si>
  <si>
    <r>
      <t>V</t>
    </r>
    <r>
      <rPr>
        <vertAlign val="subscript"/>
        <sz val="10"/>
        <rFont val="Arial"/>
        <family val="2"/>
      </rPr>
      <t>XFMR</t>
    </r>
    <r>
      <rPr>
        <sz val="10"/>
        <rFont val="Arial"/>
        <family val="2"/>
      </rPr>
      <t>, reflect</t>
    </r>
  </si>
  <si>
    <r>
      <t>- TRUE only if V</t>
    </r>
    <r>
      <rPr>
        <vertAlign val="subscript"/>
        <sz val="10"/>
        <rFont val="Arial"/>
        <family val="2"/>
      </rPr>
      <t>XFMR</t>
    </r>
    <r>
      <rPr>
        <sz val="10"/>
        <rFont val="Arial"/>
        <family val="2"/>
      </rPr>
      <t>,reflect &gt;  V</t>
    </r>
    <r>
      <rPr>
        <vertAlign val="subscript"/>
        <sz val="10"/>
        <rFont val="Arial"/>
        <family val="2"/>
      </rPr>
      <t>BULK(max_pk)</t>
    </r>
    <r>
      <rPr>
        <sz val="10"/>
        <rFont val="Arial"/>
        <family val="2"/>
      </rPr>
      <t>, FALSE = valley switching</t>
    </r>
  </si>
  <si>
    <r>
      <t xml:space="preserve">- </t>
    </r>
    <r>
      <rPr>
        <b/>
        <sz val="10"/>
        <rFont val="Arial"/>
        <family val="2"/>
      </rPr>
      <t>P</t>
    </r>
    <r>
      <rPr>
        <b/>
        <vertAlign val="subscript"/>
        <sz val="10"/>
        <rFont val="Arial"/>
        <family val="2"/>
      </rPr>
      <t>OUT</t>
    </r>
    <r>
      <rPr>
        <b/>
        <sz val="10"/>
        <rFont val="Arial"/>
        <family val="2"/>
      </rPr>
      <t xml:space="preserve"> during SS</t>
    </r>
    <r>
      <rPr>
        <sz val="10"/>
        <rFont val="Arial"/>
        <family val="2"/>
      </rPr>
      <t>, default: use P</t>
    </r>
    <r>
      <rPr>
        <vertAlign val="subscript"/>
        <sz val="10"/>
        <rFont val="Arial"/>
        <family val="2"/>
      </rPr>
      <t>OUT(max)</t>
    </r>
    <r>
      <rPr>
        <sz val="10"/>
        <rFont val="Arial"/>
        <family val="2"/>
      </rPr>
      <t xml:space="preserve"> if design will start into full load (enter, in W,  into cell C11)</t>
    </r>
  </si>
  <si>
    <r>
      <t>-</t>
    </r>
    <r>
      <rPr>
        <b/>
        <sz val="10"/>
        <rFont val="Arial"/>
        <family val="2"/>
      </rPr>
      <t xml:space="preserve"> max dV</t>
    </r>
    <r>
      <rPr>
        <b/>
        <vertAlign val="subscript"/>
        <sz val="10"/>
        <rFont val="Arial"/>
        <family val="2"/>
      </rPr>
      <t xml:space="preserve">OUT </t>
    </r>
    <r>
      <rPr>
        <b/>
        <sz val="10"/>
        <rFont val="Arial"/>
        <family val="2"/>
      </rPr>
      <t>due to Load step</t>
    </r>
    <r>
      <rPr>
        <sz val="10"/>
        <rFont val="Arial"/>
        <family val="2"/>
      </rPr>
      <t xml:space="preserve"> is the maximum output voltage deviation due to a transient or load step (enter, in Volts, in cell C23)</t>
    </r>
  </si>
  <si>
    <r>
      <t xml:space="preserve">- </t>
    </r>
    <r>
      <rPr>
        <b/>
        <sz val="10"/>
        <rFont val="Arial"/>
        <family val="2"/>
      </rPr>
      <t>Snubber overshoot % of reflected V</t>
    </r>
    <r>
      <rPr>
        <b/>
        <vertAlign val="subscript"/>
        <sz val="10"/>
        <rFont val="Arial"/>
        <family val="2"/>
      </rPr>
      <t>OUT</t>
    </r>
    <r>
      <rPr>
        <sz val="10"/>
        <rFont val="Arial"/>
        <family val="2"/>
      </rPr>
      <t xml:space="preserve"> is used to determine the snubber components.  The percentage value entered in this cell will be used to determine the clamp voltage, taking into account the derated V</t>
    </r>
    <r>
      <rPr>
        <vertAlign val="subscript"/>
        <sz val="10"/>
        <rFont val="Arial"/>
        <family val="2"/>
      </rPr>
      <t>DS</t>
    </r>
    <r>
      <rPr>
        <sz val="10"/>
        <rFont val="Arial"/>
        <family val="2"/>
      </rPr>
      <t xml:space="preserve"> of the switch, the maximum input voltage, and the reflected output voltage. Recommended 50% as default value. (enter, as a percentage, in cell C26)</t>
    </r>
  </si>
  <si>
    <t>- Resultant input power from User input (calculated by spreadsheet)</t>
  </si>
  <si>
    <r>
      <t>- TRUE only if V</t>
    </r>
    <r>
      <rPr>
        <vertAlign val="subscript"/>
        <sz val="10"/>
        <rFont val="Arial"/>
        <family val="2"/>
      </rPr>
      <t>XFMR</t>
    </r>
    <r>
      <rPr>
        <sz val="10"/>
        <rFont val="Arial"/>
        <family val="2"/>
      </rPr>
      <t>,reflect &gt;  V</t>
    </r>
    <r>
      <rPr>
        <vertAlign val="subscript"/>
        <sz val="10"/>
        <rFont val="Arial"/>
        <family val="2"/>
      </rPr>
      <t>BULK(min_valley)</t>
    </r>
    <r>
      <rPr>
        <sz val="10"/>
        <rFont val="Arial"/>
        <family val="2"/>
      </rPr>
      <t>,  FALSE = valley switching</t>
    </r>
  </si>
  <si>
    <r>
      <t xml:space="preserve">- </t>
    </r>
    <r>
      <rPr>
        <b/>
        <sz val="10"/>
        <rFont val="Arial"/>
        <family val="2"/>
      </rPr>
      <t>min N</t>
    </r>
    <r>
      <rPr>
        <b/>
        <vertAlign val="subscript"/>
        <sz val="10"/>
        <rFont val="Arial"/>
        <family val="2"/>
      </rPr>
      <t>PRI</t>
    </r>
    <r>
      <rPr>
        <b/>
        <sz val="10"/>
        <rFont val="Arial"/>
        <family val="2"/>
      </rPr>
      <t xml:space="preserve"> / N</t>
    </r>
    <r>
      <rPr>
        <b/>
        <vertAlign val="subscript"/>
        <sz val="10"/>
        <rFont val="Arial"/>
        <family val="2"/>
      </rPr>
      <t>SEC</t>
    </r>
    <r>
      <rPr>
        <sz val="10"/>
        <rFont val="Arial"/>
        <family val="2"/>
      </rPr>
      <t xml:space="preserve"> is the </t>
    </r>
    <r>
      <rPr>
        <b/>
        <sz val="10"/>
        <rFont val="Arial"/>
        <family val="2"/>
      </rPr>
      <t xml:space="preserve">Minimum Turns Ratio for the Primary to Secondary Windings </t>
    </r>
    <r>
      <rPr>
        <sz val="10"/>
        <rFont val="Arial"/>
        <family val="2"/>
      </rPr>
      <t>(this value is carried over to the Simulator page)</t>
    </r>
  </si>
  <si>
    <r>
      <t xml:space="preserve">- </t>
    </r>
    <r>
      <rPr>
        <b/>
        <sz val="10"/>
        <rFont val="Arial"/>
        <family val="2"/>
      </rPr>
      <t>min N</t>
    </r>
    <r>
      <rPr>
        <b/>
        <vertAlign val="subscript"/>
        <sz val="10"/>
        <rFont val="Arial"/>
        <family val="2"/>
      </rPr>
      <t>PRI</t>
    </r>
    <r>
      <rPr>
        <b/>
        <sz val="10"/>
        <rFont val="Arial"/>
        <family val="2"/>
      </rPr>
      <t xml:space="preserve"> / N</t>
    </r>
    <r>
      <rPr>
        <b/>
        <vertAlign val="subscript"/>
        <sz val="10"/>
        <rFont val="Arial"/>
        <family val="2"/>
      </rPr>
      <t>BIAS</t>
    </r>
    <r>
      <rPr>
        <sz val="10"/>
        <rFont val="Arial"/>
        <family val="2"/>
      </rPr>
      <t xml:space="preserve"> is the </t>
    </r>
    <r>
      <rPr>
        <b/>
        <sz val="10"/>
        <rFont val="Arial"/>
        <family val="2"/>
      </rPr>
      <t>Minimum Turns Ratio for the Primary to Bias (AUX) Windings</t>
    </r>
    <r>
      <rPr>
        <sz val="10"/>
        <rFont val="Arial"/>
        <family val="2"/>
      </rPr>
      <t xml:space="preserve"> (this value is inverted and carried over to the Simulator page)</t>
    </r>
  </si>
  <si>
    <r>
      <t xml:space="preserve">- </t>
    </r>
    <r>
      <rPr>
        <b/>
        <sz val="10"/>
        <rFont val="Arial"/>
        <family val="2"/>
      </rPr>
      <t>max L at VAC(max)</t>
    </r>
    <r>
      <rPr>
        <sz val="10"/>
        <rFont val="Arial"/>
        <family val="2"/>
      </rPr>
      <t xml:space="preserve"> is the </t>
    </r>
    <r>
      <rPr>
        <b/>
        <sz val="10"/>
        <rFont val="Arial"/>
        <family val="2"/>
      </rPr>
      <t xml:space="preserve">Calculated Primary Inductance </t>
    </r>
    <r>
      <rPr>
        <sz val="10"/>
        <rFont val="Arial"/>
        <family val="2"/>
      </rPr>
      <t>(this value is carried over to the Simulator page)</t>
    </r>
  </si>
  <si>
    <r>
      <t>Trial:</t>
    </r>
    <r>
      <rPr>
        <sz val="10"/>
        <rFont val="Arial"/>
        <family val="2"/>
      </rPr>
      <t xml:space="preserve"> the step number for the coresponding input voltage test condition</t>
    </r>
  </si>
  <si>
    <r>
      <t>V</t>
    </r>
    <r>
      <rPr>
        <b/>
        <vertAlign val="subscript"/>
        <sz val="10"/>
        <rFont val="Arial"/>
        <family val="2"/>
      </rPr>
      <t>BULK</t>
    </r>
    <r>
      <rPr>
        <b/>
        <sz val="10"/>
        <rFont val="Arial"/>
        <family val="2"/>
      </rPr>
      <t>:</t>
    </r>
    <r>
      <rPr>
        <sz val="10"/>
        <rFont val="Arial"/>
        <family val="2"/>
      </rPr>
      <t xml:space="preserve"> the voltage across the bulk capacitor, iterations begin at the minimum valley voltage</t>
    </r>
  </si>
  <si>
    <r>
      <t>V</t>
    </r>
    <r>
      <rPr>
        <b/>
        <vertAlign val="subscript"/>
        <sz val="10"/>
        <rFont val="Arial"/>
        <family val="2"/>
      </rPr>
      <t>AC(equiv)</t>
    </r>
    <r>
      <rPr>
        <b/>
        <sz val="10"/>
        <rFont val="Arial"/>
        <family val="2"/>
      </rPr>
      <t>:</t>
    </r>
    <r>
      <rPr>
        <sz val="10"/>
        <rFont val="Arial"/>
        <family val="2"/>
      </rPr>
      <t xml:space="preserve"> the corresponding AC input voltage that would result in V</t>
    </r>
    <r>
      <rPr>
        <vertAlign val="subscript"/>
        <sz val="10"/>
        <rFont val="Arial"/>
        <family val="2"/>
      </rPr>
      <t>BULK</t>
    </r>
  </si>
  <si>
    <r>
      <t xml:space="preserve">ZVS ?: </t>
    </r>
    <r>
      <rPr>
        <sz val="10"/>
        <rFont val="Arial"/>
        <family val="2"/>
      </rPr>
      <t>if TRUE, converter is zero voltage switching, if FALSE, converter is Valley switching</t>
    </r>
  </si>
  <si>
    <t>- calculated timing segments normalized with respect to the primary inductance</t>
  </si>
  <si>
    <r>
      <t>C</t>
    </r>
    <r>
      <rPr>
        <b/>
        <vertAlign val="subscript"/>
        <sz val="10"/>
        <rFont val="Arial"/>
        <family val="2"/>
      </rPr>
      <t>DS</t>
    </r>
    <r>
      <rPr>
        <b/>
        <sz val="10"/>
        <rFont val="Arial"/>
        <family val="2"/>
      </rPr>
      <t>, total:</t>
    </r>
    <r>
      <rPr>
        <sz val="10"/>
        <rFont val="Arial"/>
        <family val="2"/>
      </rPr>
      <t xml:space="preserve"> total drain to source capacitance</t>
    </r>
  </si>
  <si>
    <r>
      <t>I</t>
    </r>
    <r>
      <rPr>
        <b/>
        <vertAlign val="subscript"/>
        <sz val="10"/>
        <rFont val="Arial"/>
        <family val="2"/>
      </rPr>
      <t>PEAK</t>
    </r>
    <r>
      <rPr>
        <b/>
        <sz val="10"/>
        <rFont val="Arial"/>
        <family val="2"/>
      </rPr>
      <t>:</t>
    </r>
    <r>
      <rPr>
        <sz val="10"/>
        <rFont val="Arial"/>
        <family val="2"/>
      </rPr>
      <t xml:space="preserve"> calculated peak primary current at maximum load taking into account operating mode</t>
    </r>
  </si>
  <si>
    <r>
      <t>T</t>
    </r>
    <r>
      <rPr>
        <b/>
        <vertAlign val="subscript"/>
        <sz val="10"/>
        <rFont val="Arial"/>
        <family val="2"/>
      </rPr>
      <t>ON</t>
    </r>
    <r>
      <rPr>
        <b/>
        <sz val="10"/>
        <rFont val="Arial"/>
        <family val="2"/>
      </rPr>
      <t>:</t>
    </r>
    <r>
      <rPr>
        <sz val="10"/>
        <rFont val="Arial"/>
        <family val="2"/>
      </rPr>
      <t xml:space="preserve"> calculated on time at maximum load</t>
    </r>
  </si>
  <si>
    <r>
      <t>T</t>
    </r>
    <r>
      <rPr>
        <b/>
        <vertAlign val="subscript"/>
        <sz val="10"/>
        <rFont val="Arial"/>
        <family val="2"/>
      </rPr>
      <t>S</t>
    </r>
    <r>
      <rPr>
        <b/>
        <sz val="10"/>
        <rFont val="Arial"/>
        <family val="2"/>
      </rPr>
      <t>:</t>
    </r>
    <r>
      <rPr>
        <sz val="10"/>
        <rFont val="Arial"/>
        <family val="2"/>
      </rPr>
      <t xml:space="preserve"> calculated switching period at maximum load</t>
    </r>
  </si>
  <si>
    <r>
      <t>I</t>
    </r>
    <r>
      <rPr>
        <b/>
        <vertAlign val="subscript"/>
        <sz val="10"/>
        <rFont val="Arial"/>
        <family val="2"/>
      </rPr>
      <t>PRI(rms)</t>
    </r>
    <r>
      <rPr>
        <b/>
        <sz val="10"/>
        <rFont val="Arial"/>
        <family val="2"/>
      </rPr>
      <t>:</t>
    </r>
    <r>
      <rPr>
        <sz val="10"/>
        <rFont val="Arial"/>
        <family val="2"/>
      </rPr>
      <t xml:space="preserve"> primary side rms current</t>
    </r>
  </si>
  <si>
    <t>- calculated maximum load impedance based upon the reflected output voltage</t>
  </si>
  <si>
    <r>
      <t>I</t>
    </r>
    <r>
      <rPr>
        <b/>
        <vertAlign val="subscript"/>
        <sz val="10"/>
        <rFont val="Arial"/>
        <family val="2"/>
      </rPr>
      <t>SEC(rms)</t>
    </r>
    <r>
      <rPr>
        <b/>
        <sz val="10"/>
        <rFont val="Arial"/>
        <family val="2"/>
      </rPr>
      <t>:</t>
    </r>
    <r>
      <rPr>
        <sz val="10"/>
        <rFont val="Arial"/>
        <family val="2"/>
      </rPr>
      <t xml:space="preserve"> secondary side rms current at maximum load</t>
    </r>
  </si>
  <si>
    <r>
      <t>D:</t>
    </r>
    <r>
      <rPr>
        <sz val="10"/>
        <rFont val="Arial"/>
        <family val="2"/>
      </rPr>
      <t xml:space="preserve">  duty cycle</t>
    </r>
  </si>
  <si>
    <r>
      <t xml:space="preserve">- </t>
    </r>
    <r>
      <rPr>
        <b/>
        <sz val="10"/>
        <rFont val="Arial"/>
        <family val="2"/>
      </rPr>
      <t>I</t>
    </r>
    <r>
      <rPr>
        <b/>
        <vertAlign val="subscript"/>
        <sz val="10"/>
        <rFont val="Arial"/>
        <family val="2"/>
      </rPr>
      <t>P1</t>
    </r>
    <r>
      <rPr>
        <sz val="10"/>
        <rFont val="Arial"/>
        <family val="2"/>
      </rPr>
      <t xml:space="preserve"> is the peak primary current at low line, full load </t>
    </r>
  </si>
  <si>
    <r>
      <t xml:space="preserve">- </t>
    </r>
    <r>
      <rPr>
        <b/>
        <sz val="10"/>
        <rFont val="Arial"/>
        <family val="2"/>
      </rPr>
      <t>I</t>
    </r>
    <r>
      <rPr>
        <b/>
        <vertAlign val="subscript"/>
        <sz val="10"/>
        <rFont val="Arial"/>
        <family val="2"/>
      </rPr>
      <t>CS1</t>
    </r>
    <r>
      <rPr>
        <sz val="10"/>
        <rFont val="Arial"/>
        <family val="2"/>
      </rPr>
      <t xml:space="preserve"> is the power limit current that is sourceed at the CS pin at low line</t>
    </r>
  </si>
  <si>
    <r>
      <t xml:space="preserve">- </t>
    </r>
    <r>
      <rPr>
        <b/>
        <sz val="10"/>
        <rFont val="Arial"/>
        <family val="2"/>
      </rPr>
      <t>I</t>
    </r>
    <r>
      <rPr>
        <b/>
        <vertAlign val="subscript"/>
        <sz val="10"/>
        <rFont val="Arial"/>
        <family val="2"/>
      </rPr>
      <t>P2</t>
    </r>
    <r>
      <rPr>
        <sz val="10"/>
        <rFont val="Arial"/>
        <family val="2"/>
      </rPr>
      <t xml:space="preserve"> is the peak primary current at high line, full load </t>
    </r>
  </si>
  <si>
    <r>
      <t>V</t>
    </r>
    <r>
      <rPr>
        <vertAlign val="subscript"/>
        <sz val="10"/>
        <rFont val="Arial"/>
        <family val="2"/>
      </rPr>
      <t>BULK(ov)</t>
    </r>
    <r>
      <rPr>
        <sz val="10"/>
        <rFont val="Arial"/>
        <family val="2"/>
      </rPr>
      <t xml:space="preserve"> =</t>
    </r>
  </si>
  <si>
    <r>
      <t xml:space="preserve">- </t>
    </r>
    <r>
      <rPr>
        <b/>
        <sz val="10"/>
        <rFont val="Arial"/>
        <family val="2"/>
      </rPr>
      <t>V</t>
    </r>
    <r>
      <rPr>
        <b/>
        <vertAlign val="subscript"/>
        <sz val="10"/>
        <rFont val="Arial"/>
        <family val="2"/>
      </rPr>
      <t>OUT(shutdown)</t>
    </r>
    <r>
      <rPr>
        <sz val="10"/>
        <rFont val="Arial"/>
        <family val="2"/>
      </rPr>
      <t xml:space="preserve"> is the User programmable Output Over Voltage Protection limit (enter, in Volts, the maximum output voltage that will initiate Load OVP in cell C21)</t>
    </r>
  </si>
  <si>
    <r>
      <t xml:space="preserve">- </t>
    </r>
    <r>
      <rPr>
        <b/>
        <sz val="10"/>
        <rFont val="Arial"/>
        <family val="2"/>
      </rPr>
      <t>C</t>
    </r>
    <r>
      <rPr>
        <b/>
        <vertAlign val="subscript"/>
        <sz val="10"/>
        <rFont val="Arial"/>
        <family val="2"/>
      </rPr>
      <t>SNUB</t>
    </r>
    <r>
      <rPr>
        <sz val="10"/>
        <rFont val="Arial"/>
        <family val="2"/>
      </rPr>
      <t xml:space="preserve"> is the ideal value of the primary side snubber capacitor. Select a standard value close to this.</t>
    </r>
  </si>
  <si>
    <r>
      <t>- R</t>
    </r>
    <r>
      <rPr>
        <b/>
        <vertAlign val="subscript"/>
        <sz val="10"/>
        <rFont val="Arial"/>
        <family val="2"/>
      </rPr>
      <t>SNUB1</t>
    </r>
    <r>
      <rPr>
        <sz val="10"/>
        <rFont val="Arial"/>
        <family val="2"/>
      </rPr>
      <t xml:space="preserve"> is the ideal value of the snubber resistor that is in parallel to C</t>
    </r>
    <r>
      <rPr>
        <vertAlign val="subscript"/>
        <sz val="10"/>
        <rFont val="Arial"/>
        <family val="2"/>
      </rPr>
      <t>SNUB</t>
    </r>
    <r>
      <rPr>
        <sz val="10"/>
        <rFont val="Arial"/>
        <family val="2"/>
      </rPr>
      <t xml:space="preserve">, </t>
    </r>
    <r>
      <rPr>
        <b/>
        <sz val="10"/>
        <rFont val="Arial"/>
        <family val="2"/>
      </rPr>
      <t>P</t>
    </r>
    <r>
      <rPr>
        <b/>
        <vertAlign val="subscript"/>
        <sz val="10"/>
        <rFont val="Arial"/>
        <family val="2"/>
      </rPr>
      <t>Rsnub1</t>
    </r>
    <r>
      <rPr>
        <sz val="10"/>
        <rFont val="Arial"/>
        <family val="2"/>
      </rPr>
      <t xml:space="preserve"> is the power dissipation of R</t>
    </r>
    <r>
      <rPr>
        <vertAlign val="subscript"/>
        <sz val="10"/>
        <rFont val="Arial"/>
        <family val="2"/>
      </rPr>
      <t xml:space="preserve">SNUB1.  </t>
    </r>
    <r>
      <rPr>
        <sz val="10"/>
        <rFont val="Arial"/>
        <family val="2"/>
      </rPr>
      <t>Select a standard value close to this.</t>
    </r>
  </si>
  <si>
    <r>
      <t>- R</t>
    </r>
    <r>
      <rPr>
        <b/>
        <vertAlign val="subscript"/>
        <sz val="10"/>
        <rFont val="Arial"/>
        <family val="2"/>
      </rPr>
      <t>SNUB2</t>
    </r>
    <r>
      <rPr>
        <sz val="10"/>
        <rFont val="Arial"/>
        <family val="2"/>
      </rPr>
      <t xml:space="preserve"> is the ideal value of the snubber resistor that is in series with C</t>
    </r>
    <r>
      <rPr>
        <vertAlign val="subscript"/>
        <sz val="10"/>
        <rFont val="Arial"/>
        <family val="2"/>
      </rPr>
      <t xml:space="preserve">SNUB. </t>
    </r>
    <r>
      <rPr>
        <sz val="10"/>
        <rFont val="Arial"/>
        <family val="2"/>
      </rPr>
      <t>Select a standard value close to this.</t>
    </r>
  </si>
  <si>
    <r>
      <t xml:space="preserve">- </t>
    </r>
    <r>
      <rPr>
        <b/>
        <sz val="10"/>
        <rFont val="Arial"/>
        <family val="2"/>
      </rPr>
      <t>C</t>
    </r>
    <r>
      <rPr>
        <b/>
        <vertAlign val="subscript"/>
        <sz val="10"/>
        <rFont val="Arial"/>
        <family val="2"/>
      </rPr>
      <t>SS</t>
    </r>
    <r>
      <rPr>
        <sz val="10"/>
        <rFont val="Arial"/>
        <family val="2"/>
      </rPr>
      <t>, minimum is the rewquired capacitor fo SS. Select astandard value close to this.</t>
    </r>
  </si>
  <si>
    <r>
      <t xml:space="preserve">- </t>
    </r>
    <r>
      <rPr>
        <b/>
        <sz val="10"/>
        <rFont val="Arial"/>
        <family val="2"/>
      </rPr>
      <t>L</t>
    </r>
    <r>
      <rPr>
        <b/>
        <vertAlign val="subscript"/>
        <sz val="10"/>
        <rFont val="Arial"/>
        <family val="2"/>
      </rPr>
      <t>PRI(terminal)</t>
    </r>
    <r>
      <rPr>
        <sz val="10"/>
        <rFont val="Arial"/>
        <family val="2"/>
      </rPr>
      <t xml:space="preserve"> is the required primary inductance. L</t>
    </r>
    <r>
      <rPr>
        <vertAlign val="subscript"/>
        <sz val="10"/>
        <rFont val="Arial"/>
        <family val="2"/>
      </rPr>
      <t>PRI</t>
    </r>
    <r>
      <rPr>
        <sz val="10"/>
        <rFont val="Arial"/>
        <family val="2"/>
      </rPr>
      <t xml:space="preserve"> is carried over to the QR Simulator page where the User must select a standard value.</t>
    </r>
  </si>
  <si>
    <r>
      <t>-</t>
    </r>
    <r>
      <rPr>
        <b/>
        <sz val="10"/>
        <rFont val="Arial"/>
        <family val="2"/>
      </rPr>
      <t xml:space="preserve"> L</t>
    </r>
    <r>
      <rPr>
        <b/>
        <vertAlign val="subscript"/>
        <sz val="10"/>
        <rFont val="Arial"/>
        <family val="2"/>
      </rPr>
      <t>PRI(leakage)</t>
    </r>
    <r>
      <rPr>
        <sz val="10"/>
        <rFont val="Arial"/>
        <family val="2"/>
      </rPr>
      <t xml:space="preserve"> is the maximum allowable leakage inductance.  L</t>
    </r>
    <r>
      <rPr>
        <vertAlign val="subscript"/>
        <sz val="10"/>
        <rFont val="Arial"/>
        <family val="2"/>
      </rPr>
      <t>PRI(leakage)</t>
    </r>
    <r>
      <rPr>
        <sz val="10"/>
        <rFont val="Arial"/>
        <family val="2"/>
      </rPr>
      <t xml:space="preserve"> is carried over to the QR Simulator page where the User must select a standard value.</t>
    </r>
  </si>
  <si>
    <r>
      <t xml:space="preserve">- </t>
    </r>
    <r>
      <rPr>
        <b/>
        <sz val="10"/>
        <rFont val="Arial"/>
        <family val="2"/>
      </rPr>
      <t>I</t>
    </r>
    <r>
      <rPr>
        <b/>
        <vertAlign val="subscript"/>
        <sz val="10"/>
        <rFont val="Arial"/>
        <family val="2"/>
      </rPr>
      <t>CS2</t>
    </r>
    <r>
      <rPr>
        <sz val="10"/>
        <rFont val="Arial"/>
        <family val="2"/>
      </rPr>
      <t xml:space="preserve"> is the power limit current that is sourceed at the CS pin at high line</t>
    </r>
  </si>
  <si>
    <r>
      <t xml:space="preserve">- </t>
    </r>
    <r>
      <rPr>
        <b/>
        <sz val="10"/>
        <rFont val="Arial"/>
        <family val="2"/>
      </rPr>
      <t>N</t>
    </r>
    <r>
      <rPr>
        <b/>
        <vertAlign val="subscript"/>
        <sz val="10"/>
        <rFont val="Arial"/>
        <family val="2"/>
      </rPr>
      <t>PRI</t>
    </r>
    <r>
      <rPr>
        <b/>
        <sz val="10"/>
        <rFont val="Arial"/>
        <family val="2"/>
      </rPr>
      <t>/N</t>
    </r>
    <r>
      <rPr>
        <b/>
        <vertAlign val="subscript"/>
        <sz val="10"/>
        <rFont val="Arial"/>
        <family val="2"/>
      </rPr>
      <t>SEC</t>
    </r>
    <r>
      <rPr>
        <sz val="10"/>
        <rFont val="Arial"/>
        <family val="2"/>
      </rPr>
      <t xml:space="preserve"> is the ideal primary to secondary turns ratio. N</t>
    </r>
    <r>
      <rPr>
        <vertAlign val="subscript"/>
        <sz val="10"/>
        <rFont val="Arial"/>
        <family val="2"/>
      </rPr>
      <t>PRI</t>
    </r>
    <r>
      <rPr>
        <sz val="10"/>
        <rFont val="Arial"/>
        <family val="2"/>
      </rPr>
      <t>/N</t>
    </r>
    <r>
      <rPr>
        <vertAlign val="subscript"/>
        <sz val="10"/>
        <rFont val="Arial"/>
        <family val="2"/>
      </rPr>
      <t>SEC</t>
    </r>
    <r>
      <rPr>
        <sz val="10"/>
        <rFont val="Arial"/>
        <family val="2"/>
      </rPr>
      <t xml:space="preserve"> is carried over to the QR Simulator page where the User must enter the actual turns used.</t>
    </r>
  </si>
  <si>
    <r>
      <t>V</t>
    </r>
    <r>
      <rPr>
        <vertAlign val="subscript"/>
        <sz val="10"/>
        <rFont val="Arial"/>
        <family val="2"/>
      </rPr>
      <t>OUT(shutdown)</t>
    </r>
  </si>
  <si>
    <r>
      <t>-</t>
    </r>
    <r>
      <rPr>
        <b/>
        <sz val="10"/>
        <rFont val="Arial"/>
        <family val="2"/>
      </rPr>
      <t xml:space="preserve"> I</t>
    </r>
    <r>
      <rPr>
        <b/>
        <vertAlign val="subscript"/>
        <sz val="10"/>
        <rFont val="Arial"/>
        <family val="2"/>
      </rPr>
      <t>PRI(rms)</t>
    </r>
    <r>
      <rPr>
        <b/>
        <sz val="10"/>
        <rFont val="Arial"/>
        <family val="2"/>
      </rPr>
      <t xml:space="preserve"> </t>
    </r>
    <r>
      <rPr>
        <sz val="10"/>
        <rFont val="Arial"/>
        <family val="2"/>
      </rPr>
      <t>is the primary rms current at low line, maximum load</t>
    </r>
  </si>
  <si>
    <r>
      <t>-</t>
    </r>
    <r>
      <rPr>
        <b/>
        <sz val="10"/>
        <rFont val="Arial"/>
        <family val="2"/>
      </rPr>
      <t xml:space="preserve"> I</t>
    </r>
    <r>
      <rPr>
        <b/>
        <vertAlign val="subscript"/>
        <sz val="10"/>
        <rFont val="Arial"/>
        <family val="2"/>
      </rPr>
      <t>PRI(peak)</t>
    </r>
    <r>
      <rPr>
        <b/>
        <sz val="10"/>
        <rFont val="Arial"/>
        <family val="2"/>
      </rPr>
      <t xml:space="preserve"> </t>
    </r>
    <r>
      <rPr>
        <sz val="10"/>
        <rFont val="Arial"/>
        <family val="2"/>
      </rPr>
      <t>is the peak primary current at low line, maximum load</t>
    </r>
  </si>
  <si>
    <r>
      <t>V</t>
    </r>
    <r>
      <rPr>
        <vertAlign val="subscript"/>
        <sz val="10"/>
        <rFont val="Arial"/>
        <family val="2"/>
      </rPr>
      <t>DS</t>
    </r>
    <r>
      <rPr>
        <sz val="10"/>
        <rFont val="Arial"/>
        <family val="2"/>
      </rPr>
      <t xml:space="preserve"> stress</t>
    </r>
  </si>
  <si>
    <r>
      <t xml:space="preserve">- </t>
    </r>
    <r>
      <rPr>
        <b/>
        <sz val="10"/>
        <rFont val="Arial"/>
        <family val="2"/>
      </rPr>
      <t>V</t>
    </r>
    <r>
      <rPr>
        <b/>
        <vertAlign val="subscript"/>
        <sz val="10"/>
        <rFont val="Arial"/>
        <family val="2"/>
      </rPr>
      <t>DS</t>
    </r>
    <r>
      <rPr>
        <b/>
        <sz val="10"/>
        <rFont val="Arial"/>
        <family val="2"/>
      </rPr>
      <t xml:space="preserve"> rating</t>
    </r>
    <r>
      <rPr>
        <sz val="10"/>
        <rFont val="Arial"/>
        <family val="2"/>
      </rPr>
      <t xml:space="preserve"> is the voltage rating on the User selected MOSFET</t>
    </r>
  </si>
  <si>
    <r>
      <t xml:space="preserve">- </t>
    </r>
    <r>
      <rPr>
        <b/>
        <sz val="10"/>
        <rFont val="Arial"/>
        <family val="2"/>
      </rPr>
      <t>I</t>
    </r>
    <r>
      <rPr>
        <b/>
        <vertAlign val="subscript"/>
        <sz val="10"/>
        <rFont val="Arial"/>
        <family val="2"/>
      </rPr>
      <t>D(rms)</t>
    </r>
    <r>
      <rPr>
        <sz val="10"/>
        <rFont val="Arial"/>
        <family val="2"/>
      </rPr>
      <t xml:space="preserve"> is the maximum primary rms current</t>
    </r>
  </si>
  <si>
    <r>
      <t>-</t>
    </r>
    <r>
      <rPr>
        <b/>
        <sz val="10"/>
        <rFont val="Arial"/>
        <family val="2"/>
      </rPr>
      <t xml:space="preserve"> ESR, max</t>
    </r>
    <r>
      <rPr>
        <sz val="10"/>
        <rFont val="Arial"/>
        <family val="2"/>
      </rPr>
      <t xml:space="preserve"> is the maximum allowable equivalent series resitance of the output capacitor bank</t>
    </r>
  </si>
  <si>
    <r>
      <t xml:space="preserve">- </t>
    </r>
    <r>
      <rPr>
        <b/>
        <sz val="10"/>
        <rFont val="Arial"/>
        <family val="2"/>
      </rPr>
      <t>rms current rating at low line</t>
    </r>
    <r>
      <rPr>
        <sz val="10"/>
        <rFont val="Arial"/>
        <family val="2"/>
      </rPr>
      <t xml:space="preserve"> is the required rms ripple current rating for low line operation of designs that do not use a PFC front end</t>
    </r>
  </si>
  <si>
    <r>
      <t xml:space="preserve">- </t>
    </r>
    <r>
      <rPr>
        <b/>
        <sz val="10"/>
        <rFont val="Arial"/>
        <family val="2"/>
      </rPr>
      <t>rms current rating at high line</t>
    </r>
    <r>
      <rPr>
        <sz val="10"/>
        <rFont val="Arial"/>
        <family val="2"/>
      </rPr>
      <t xml:space="preserve"> is the required rms ripple current rating for low line operation of designs that use a PFC front end</t>
    </r>
  </si>
  <si>
    <r>
      <t xml:space="preserve">- </t>
    </r>
    <r>
      <rPr>
        <b/>
        <sz val="10"/>
        <rFont val="Arial"/>
        <family val="2"/>
      </rPr>
      <t>V</t>
    </r>
    <r>
      <rPr>
        <b/>
        <vertAlign val="subscript"/>
        <sz val="10"/>
        <rFont val="Arial"/>
        <family val="2"/>
      </rPr>
      <t>F</t>
    </r>
    <r>
      <rPr>
        <sz val="10"/>
        <rFont val="Arial"/>
        <family val="2"/>
      </rPr>
      <t xml:space="preserve"> is the forward voltage drop of the selected diode</t>
    </r>
  </si>
  <si>
    <r>
      <t xml:space="preserve">- </t>
    </r>
    <r>
      <rPr>
        <b/>
        <sz val="10"/>
        <rFont val="Arial"/>
        <family val="2"/>
      </rPr>
      <t>I</t>
    </r>
    <r>
      <rPr>
        <b/>
        <vertAlign val="subscript"/>
        <sz val="10"/>
        <rFont val="Arial"/>
        <family val="2"/>
      </rPr>
      <t>AVERAGE</t>
    </r>
    <r>
      <rPr>
        <sz val="10"/>
        <rFont val="Arial"/>
        <family val="2"/>
      </rPr>
      <t xml:space="preserve"> is the average output current</t>
    </r>
  </si>
  <si>
    <r>
      <t>- P</t>
    </r>
    <r>
      <rPr>
        <b/>
        <vertAlign val="subscript"/>
        <sz val="10"/>
        <rFont val="Arial"/>
        <family val="2"/>
      </rPr>
      <t>DISSIPATE</t>
    </r>
    <r>
      <rPr>
        <sz val="10"/>
        <rFont val="Arial"/>
        <family val="2"/>
      </rPr>
      <t xml:space="preserve"> is the calculated power dissipation of the output diode</t>
    </r>
  </si>
  <si>
    <r>
      <t xml:space="preserve">- </t>
    </r>
    <r>
      <rPr>
        <b/>
        <sz val="10"/>
        <rFont val="Arial"/>
        <family val="2"/>
      </rPr>
      <t>V</t>
    </r>
    <r>
      <rPr>
        <b/>
        <vertAlign val="subscript"/>
        <sz val="10"/>
        <rFont val="Arial"/>
        <family val="2"/>
      </rPr>
      <t>BLOCK</t>
    </r>
    <r>
      <rPr>
        <sz val="10"/>
        <rFont val="Arial"/>
        <family val="2"/>
      </rPr>
      <t xml:space="preserve"> is the required reverse voltage rating of the diode</t>
    </r>
  </si>
  <si>
    <r>
      <t>-</t>
    </r>
    <r>
      <rPr>
        <b/>
        <sz val="10"/>
        <rFont val="Arial"/>
        <family val="2"/>
      </rPr>
      <t xml:space="preserve"> R</t>
    </r>
    <r>
      <rPr>
        <b/>
        <vertAlign val="subscript"/>
        <sz val="10"/>
        <rFont val="Arial"/>
        <family val="2"/>
      </rPr>
      <t>CS</t>
    </r>
    <r>
      <rPr>
        <sz val="10"/>
        <rFont val="Arial"/>
        <family val="2"/>
      </rPr>
      <t xml:space="preserve"> is the ideal value of the Current Sense resistor </t>
    </r>
  </si>
  <si>
    <r>
      <t xml:space="preserve">- </t>
    </r>
    <r>
      <rPr>
        <b/>
        <sz val="10"/>
        <rFont val="Arial"/>
        <family val="2"/>
      </rPr>
      <t>maximum power</t>
    </r>
    <r>
      <rPr>
        <sz val="10"/>
        <rFont val="Arial"/>
        <family val="2"/>
      </rPr>
      <t xml:space="preserve"> is the calculated dissipated power across the current sense resistor</t>
    </r>
  </si>
  <si>
    <r>
      <t xml:space="preserve">- </t>
    </r>
    <r>
      <rPr>
        <b/>
        <sz val="10"/>
        <rFont val="Arial"/>
        <family val="2"/>
      </rPr>
      <t>R</t>
    </r>
    <r>
      <rPr>
        <b/>
        <vertAlign val="subscript"/>
        <sz val="10"/>
        <rFont val="Arial"/>
        <family val="2"/>
      </rPr>
      <t>PL</t>
    </r>
    <r>
      <rPr>
        <sz val="10"/>
        <rFont val="Arial"/>
        <family val="2"/>
      </rPr>
      <t xml:space="preserve"> is the ideal value of the power limit resistor</t>
    </r>
  </si>
  <si>
    <r>
      <t>-</t>
    </r>
    <r>
      <rPr>
        <b/>
        <sz val="10"/>
        <rFont val="Arial"/>
        <family val="2"/>
      </rPr>
      <t xml:space="preserve"> P</t>
    </r>
    <r>
      <rPr>
        <b/>
        <vertAlign val="subscript"/>
        <sz val="10"/>
        <rFont val="Arial"/>
        <family val="2"/>
      </rPr>
      <t>Rsnub1</t>
    </r>
    <r>
      <rPr>
        <sz val="10"/>
        <rFont val="Arial"/>
        <family val="2"/>
      </rPr>
      <t xml:space="preserve"> is the power dissipation of R</t>
    </r>
    <r>
      <rPr>
        <vertAlign val="subscript"/>
        <sz val="10"/>
        <rFont val="Arial"/>
        <family val="2"/>
      </rPr>
      <t>SNUB1</t>
    </r>
    <r>
      <rPr>
        <sz val="10"/>
        <rFont val="Arial"/>
        <family val="2"/>
      </rPr>
      <t>.</t>
    </r>
  </si>
  <si>
    <r>
      <t xml:space="preserve">- </t>
    </r>
    <r>
      <rPr>
        <b/>
        <sz val="10"/>
        <rFont val="Arial"/>
        <family val="2"/>
      </rPr>
      <t>C</t>
    </r>
    <r>
      <rPr>
        <b/>
        <vertAlign val="subscript"/>
        <sz val="10"/>
        <rFont val="Arial"/>
        <family val="2"/>
      </rPr>
      <t>SS</t>
    </r>
    <r>
      <rPr>
        <sz val="10"/>
        <rFont val="Arial"/>
        <family val="2"/>
      </rPr>
      <t>, minimum is the required capacitor fo SS. Select astandard value close to this.</t>
    </r>
  </si>
  <si>
    <r>
      <t xml:space="preserve">- </t>
    </r>
    <r>
      <rPr>
        <b/>
        <sz val="10"/>
        <rFont val="Arial"/>
        <family val="2"/>
      </rPr>
      <t>t</t>
    </r>
    <r>
      <rPr>
        <b/>
        <vertAlign val="subscript"/>
        <sz val="10"/>
        <rFont val="Arial"/>
        <family val="2"/>
      </rPr>
      <t>SS</t>
    </r>
    <r>
      <rPr>
        <sz val="10"/>
        <rFont val="Arial"/>
        <family val="2"/>
      </rPr>
      <t>, minimum is the required soft start time</t>
    </r>
  </si>
  <si>
    <r>
      <t xml:space="preserve">- </t>
    </r>
    <r>
      <rPr>
        <b/>
        <sz val="10"/>
        <rFont val="Arial"/>
        <family val="2"/>
      </rPr>
      <t>R</t>
    </r>
    <r>
      <rPr>
        <b/>
        <vertAlign val="subscript"/>
        <sz val="10"/>
        <rFont val="Arial"/>
        <family val="2"/>
      </rPr>
      <t>OVP2</t>
    </r>
    <r>
      <rPr>
        <sz val="10"/>
        <rFont val="Arial"/>
        <family val="2"/>
      </rPr>
      <t xml:space="preserve"> is the</t>
    </r>
    <r>
      <rPr>
        <sz val="10"/>
        <rFont val="Arial"/>
        <family val="2"/>
      </rPr>
      <t xml:space="preserve"> ideal value of the bottom resistor on the OVP pin</t>
    </r>
  </si>
  <si>
    <r>
      <t xml:space="preserve">- </t>
    </r>
    <r>
      <rPr>
        <b/>
        <sz val="10"/>
        <rFont val="Arial"/>
        <family val="2"/>
      </rPr>
      <t>R</t>
    </r>
    <r>
      <rPr>
        <b/>
        <vertAlign val="subscript"/>
        <sz val="10"/>
        <rFont val="Arial"/>
        <family val="2"/>
      </rPr>
      <t>OVP1</t>
    </r>
    <r>
      <rPr>
        <sz val="10"/>
        <rFont val="Arial"/>
        <family val="2"/>
      </rPr>
      <t xml:space="preserve"> is the</t>
    </r>
    <r>
      <rPr>
        <sz val="10"/>
        <rFont val="Arial"/>
        <family val="2"/>
      </rPr>
      <t xml:space="preserve"> ideal value of the top resistor on the OVP pin</t>
    </r>
    <r>
      <rPr>
        <sz val="10"/>
        <rFont val="Arial"/>
        <family val="2"/>
      </rPr>
      <t xml:space="preserve"> </t>
    </r>
  </si>
  <si>
    <r>
      <t>- R</t>
    </r>
    <r>
      <rPr>
        <b/>
        <vertAlign val="subscript"/>
        <sz val="10"/>
        <rFont val="Arial"/>
        <family val="2"/>
      </rPr>
      <t>SNUB1</t>
    </r>
    <r>
      <rPr>
        <sz val="10"/>
        <rFont val="Arial"/>
        <family val="2"/>
      </rPr>
      <t xml:space="preserve"> is the ideal value of the snubber resistor that is in parallel to C</t>
    </r>
    <r>
      <rPr>
        <vertAlign val="subscript"/>
        <sz val="10"/>
        <rFont val="Arial"/>
        <family val="2"/>
      </rPr>
      <t>SNUB</t>
    </r>
    <r>
      <rPr>
        <sz val="10"/>
        <rFont val="Arial"/>
        <family val="2"/>
      </rPr>
      <t>, Select a standard value close to this.</t>
    </r>
  </si>
  <si>
    <r>
      <t>Actual L</t>
    </r>
    <r>
      <rPr>
        <b/>
        <vertAlign val="subscript"/>
        <sz val="10"/>
        <rFont val="Arial"/>
        <family val="2"/>
      </rPr>
      <t xml:space="preserve">M </t>
    </r>
    <r>
      <rPr>
        <b/>
        <sz val="10"/>
        <rFont val="Arial"/>
        <family val="2"/>
      </rPr>
      <t>(from magnetic manufacturer's drawing spec)</t>
    </r>
    <r>
      <rPr>
        <sz val="10"/>
        <rFont val="Arial"/>
        <family val="2"/>
      </rPr>
      <t>.  The recommended primary inductance is shown in cell E42, carried over from the QR Design page.</t>
    </r>
  </si>
  <si>
    <r>
      <t xml:space="preserve">- </t>
    </r>
    <r>
      <rPr>
        <b/>
        <sz val="10"/>
        <rFont val="Arial"/>
        <family val="2"/>
      </rPr>
      <t>C</t>
    </r>
    <r>
      <rPr>
        <b/>
        <vertAlign val="subscript"/>
        <sz val="10"/>
        <rFont val="Arial"/>
        <family val="2"/>
      </rPr>
      <t>DS</t>
    </r>
    <r>
      <rPr>
        <b/>
        <sz val="10"/>
        <rFont val="Arial"/>
        <family val="2"/>
      </rPr>
      <t>, stray</t>
    </r>
    <r>
      <rPr>
        <sz val="10"/>
        <rFont val="Arial"/>
        <family val="2"/>
      </rPr>
      <t xml:space="preserve"> is the estimated</t>
    </r>
    <r>
      <rPr>
        <b/>
        <sz val="10"/>
        <rFont val="Arial"/>
        <family val="2"/>
      </rPr>
      <t xml:space="preserve"> parasitic</t>
    </r>
    <r>
      <rPr>
        <sz val="10"/>
        <rFont val="Arial"/>
        <family val="2"/>
      </rPr>
      <t xml:space="preserve"> Drain to Source capacitance (enter, in Farads, in cell C35)   ex.TO-220 tab to GND is about 25 pF</t>
    </r>
  </si>
  <si>
    <t xml:space="preserve">F </t>
  </si>
  <si>
    <t>Converter Requirements:</t>
  </si>
  <si>
    <t>MOSFET Specifications:</t>
  </si>
  <si>
    <t>Diode Data:</t>
  </si>
  <si>
    <r>
      <t>Actual Leakage to magnetizing inductance %</t>
    </r>
    <r>
      <rPr>
        <sz val="10"/>
        <rFont val="Arial"/>
        <family val="2"/>
      </rPr>
      <t xml:space="preserve"> (from magnetic manufacturer's drawing spec)</t>
    </r>
  </si>
  <si>
    <r>
      <t>Operation Characteristics of Design using L</t>
    </r>
    <r>
      <rPr>
        <b/>
        <vertAlign val="subscript"/>
        <sz val="12"/>
        <rFont val="Arial"/>
        <family val="2"/>
      </rPr>
      <t>M</t>
    </r>
    <r>
      <rPr>
        <b/>
        <sz val="12"/>
        <rFont val="Arial"/>
        <family val="2"/>
      </rPr>
      <t xml:space="preserve"> and L</t>
    </r>
    <r>
      <rPr>
        <b/>
        <vertAlign val="subscript"/>
        <sz val="12"/>
        <rFont val="Arial"/>
        <family val="2"/>
      </rPr>
      <t>LEAK</t>
    </r>
    <r>
      <rPr>
        <b/>
        <sz val="12"/>
        <rFont val="Arial"/>
        <family val="2"/>
      </rPr>
      <t xml:space="preserve"> at Low Line</t>
    </r>
  </si>
  <si>
    <r>
      <t>Operation Characteristics of Design Using L</t>
    </r>
    <r>
      <rPr>
        <b/>
        <vertAlign val="subscript"/>
        <sz val="12"/>
        <rFont val="Arial"/>
        <family val="2"/>
      </rPr>
      <t>M</t>
    </r>
    <r>
      <rPr>
        <b/>
        <sz val="12"/>
        <rFont val="Arial"/>
        <family val="2"/>
      </rPr>
      <t xml:space="preserve"> and L</t>
    </r>
    <r>
      <rPr>
        <b/>
        <vertAlign val="subscript"/>
        <sz val="12"/>
        <rFont val="Arial"/>
        <family val="2"/>
      </rPr>
      <t>LEAK</t>
    </r>
    <r>
      <rPr>
        <b/>
        <sz val="12"/>
        <rFont val="Arial"/>
        <family val="2"/>
      </rPr>
      <t xml:space="preserve"> at High Line</t>
    </r>
  </si>
  <si>
    <r>
      <t>Operation Characteristics of Design Using L</t>
    </r>
    <r>
      <rPr>
        <b/>
        <vertAlign val="subscript"/>
        <sz val="12"/>
        <rFont val="Arial"/>
        <family val="2"/>
      </rPr>
      <t>M</t>
    </r>
    <r>
      <rPr>
        <b/>
        <sz val="12"/>
        <rFont val="Arial"/>
        <family val="2"/>
      </rPr>
      <t xml:space="preserve"> and L</t>
    </r>
    <r>
      <rPr>
        <b/>
        <vertAlign val="subscript"/>
        <sz val="12"/>
        <rFont val="Arial"/>
        <family val="2"/>
      </rPr>
      <t>LEAK</t>
    </r>
    <r>
      <rPr>
        <b/>
        <sz val="12"/>
        <rFont val="Arial"/>
        <family val="2"/>
      </rPr>
      <t xml:space="preserve"> at Full Rated Power</t>
    </r>
  </si>
  <si>
    <r>
      <t>L</t>
    </r>
    <r>
      <rPr>
        <vertAlign val="subscript"/>
        <sz val="10"/>
        <rFont val="Arial"/>
        <family val="2"/>
      </rPr>
      <t>LEAKAGE(max)</t>
    </r>
  </si>
  <si>
    <r>
      <t>-</t>
    </r>
    <r>
      <rPr>
        <b/>
        <sz val="10"/>
        <rFont val="Arial"/>
        <family val="2"/>
      </rPr>
      <t xml:space="preserve"> L</t>
    </r>
    <r>
      <rPr>
        <b/>
        <vertAlign val="subscript"/>
        <sz val="10"/>
        <rFont val="Arial"/>
        <family val="2"/>
      </rPr>
      <t>LEAKAGE(max)</t>
    </r>
    <r>
      <rPr>
        <sz val="10"/>
        <rFont val="Arial"/>
        <family val="2"/>
      </rPr>
      <t xml:space="preserve"> is the </t>
    </r>
    <r>
      <rPr>
        <b/>
        <sz val="10"/>
        <rFont val="Arial"/>
        <family val="2"/>
      </rPr>
      <t xml:space="preserve">Allowable Leakage Inductance </t>
    </r>
    <r>
      <rPr>
        <sz val="10"/>
        <rFont val="Arial"/>
        <family val="2"/>
      </rPr>
      <t xml:space="preserve">(this value is carried over to the Simulator page) </t>
    </r>
  </si>
  <si>
    <r>
      <t>Recommended L</t>
    </r>
    <r>
      <rPr>
        <vertAlign val="subscript"/>
        <sz val="10"/>
        <rFont val="Arial"/>
        <family val="2"/>
      </rPr>
      <t xml:space="preserve">M </t>
    </r>
    <r>
      <rPr>
        <sz val="10"/>
        <rFont val="Arial"/>
        <family val="2"/>
      </rPr>
      <t>carried over from QR Design page and shown for the User's convenience in cell E42</t>
    </r>
  </si>
  <si>
    <r>
      <t>N</t>
    </r>
    <r>
      <rPr>
        <b/>
        <vertAlign val="subscript"/>
        <sz val="10"/>
        <rFont val="Arial"/>
        <family val="2"/>
      </rPr>
      <t>PRI</t>
    </r>
    <r>
      <rPr>
        <b/>
        <sz val="10"/>
        <rFont val="Arial"/>
        <family val="2"/>
      </rPr>
      <t>/N</t>
    </r>
    <r>
      <rPr>
        <b/>
        <vertAlign val="subscript"/>
        <sz val="10"/>
        <rFont val="Arial"/>
        <family val="2"/>
      </rPr>
      <t>SEC</t>
    </r>
    <r>
      <rPr>
        <sz val="10"/>
        <rFont val="Arial"/>
        <family val="2"/>
      </rPr>
      <t xml:space="preserve"> (from magnetic manufacturer's drawing spec)</t>
    </r>
  </si>
  <si>
    <r>
      <t xml:space="preserve">- </t>
    </r>
    <r>
      <rPr>
        <b/>
        <sz val="10"/>
        <rFont val="Arial"/>
        <family val="2"/>
      </rPr>
      <t>R</t>
    </r>
    <r>
      <rPr>
        <b/>
        <vertAlign val="subscript"/>
        <sz val="10"/>
        <rFont val="Arial"/>
        <family val="2"/>
      </rPr>
      <t>OVP1</t>
    </r>
    <r>
      <rPr>
        <sz val="10"/>
        <rFont val="Arial"/>
        <family val="2"/>
      </rPr>
      <t xml:space="preserve"> is the </t>
    </r>
    <r>
      <rPr>
        <b/>
        <sz val="10"/>
        <rFont val="Arial"/>
        <family val="2"/>
      </rPr>
      <t>ideal value of the top resistor on the OVP pin</t>
    </r>
    <r>
      <rPr>
        <sz val="10"/>
        <rFont val="Arial"/>
        <family val="2"/>
      </rPr>
      <t xml:space="preserve"> (this value is adjusted for actual turns ratio and carried over to the Simulator page)</t>
    </r>
  </si>
  <si>
    <r>
      <t xml:space="preserve">- </t>
    </r>
    <r>
      <rPr>
        <b/>
        <sz val="10"/>
        <rFont val="Arial"/>
        <family val="2"/>
      </rPr>
      <t>R</t>
    </r>
    <r>
      <rPr>
        <b/>
        <vertAlign val="subscript"/>
        <sz val="10"/>
        <rFont val="Arial"/>
        <family val="2"/>
      </rPr>
      <t>OVP2</t>
    </r>
    <r>
      <rPr>
        <sz val="10"/>
        <rFont val="Arial"/>
        <family val="2"/>
      </rPr>
      <t xml:space="preserve"> is the </t>
    </r>
    <r>
      <rPr>
        <b/>
        <sz val="10"/>
        <rFont val="Arial"/>
        <family val="2"/>
      </rPr>
      <t>ideal value of the bottom resistor on the OVP pin</t>
    </r>
    <r>
      <rPr>
        <sz val="10"/>
        <rFont val="Arial"/>
        <family val="2"/>
      </rPr>
      <t xml:space="preserve"> (this value is adjusted for actual turns ratio and carried over to the Simulator page)</t>
    </r>
  </si>
  <si>
    <r>
      <t>- the ideal value of the Current Sense resistor (</t>
    </r>
    <r>
      <rPr>
        <b/>
        <sz val="10"/>
        <rFont val="Arial"/>
        <family val="2"/>
      </rPr>
      <t>R</t>
    </r>
    <r>
      <rPr>
        <b/>
        <vertAlign val="subscript"/>
        <sz val="10"/>
        <rFont val="Arial"/>
        <family val="2"/>
      </rPr>
      <t>CS</t>
    </r>
    <r>
      <rPr>
        <sz val="10"/>
        <rFont val="Arial"/>
        <family val="2"/>
      </rPr>
      <t>), the peak voltage across it (</t>
    </r>
    <r>
      <rPr>
        <b/>
        <sz val="10"/>
        <rFont val="Arial"/>
        <family val="2"/>
      </rPr>
      <t>V</t>
    </r>
    <r>
      <rPr>
        <b/>
        <vertAlign val="subscript"/>
        <sz val="10"/>
        <rFont val="Arial"/>
        <family val="2"/>
      </rPr>
      <t>Rcs</t>
    </r>
    <r>
      <rPr>
        <b/>
        <sz val="10"/>
        <rFont val="Arial"/>
        <family val="2"/>
      </rPr>
      <t>, peak</t>
    </r>
    <r>
      <rPr>
        <sz val="10"/>
        <rFont val="Arial"/>
        <family val="2"/>
      </rPr>
      <t>), and the power dissipated by it (</t>
    </r>
    <r>
      <rPr>
        <b/>
        <sz val="10"/>
        <rFont val="Arial"/>
        <family val="2"/>
      </rPr>
      <t>P</t>
    </r>
    <r>
      <rPr>
        <b/>
        <vertAlign val="subscript"/>
        <sz val="10"/>
        <rFont val="Arial"/>
        <family val="2"/>
      </rPr>
      <t>Rcs</t>
    </r>
    <r>
      <rPr>
        <sz val="10"/>
        <rFont val="Arial"/>
        <family val="2"/>
      </rPr>
      <t>). R</t>
    </r>
    <r>
      <rPr>
        <vertAlign val="subscript"/>
        <sz val="10"/>
        <rFont val="Arial"/>
        <family val="2"/>
      </rPr>
      <t>CS</t>
    </r>
    <r>
      <rPr>
        <sz val="10"/>
        <rFont val="Arial"/>
        <family val="2"/>
      </rPr>
      <t xml:space="preserve"> is adjusted for actual turns ratio and carried over to the QR Simulator page where the User must select a standard value.</t>
    </r>
  </si>
  <si>
    <t>Recommended values, carried over from the QR Design Tool page and adjusted for the actual turns ratio are shown in cells D54 through D57.  The User must insert the closest standard value for each component in cells B54 through B57, iterating until the recommended values no longer self-adjust (usually 2-3 iterations are all that are needed)</t>
  </si>
  <si>
    <r>
      <t>R</t>
    </r>
    <r>
      <rPr>
        <b/>
        <vertAlign val="subscript"/>
        <sz val="10"/>
        <rFont val="Arial"/>
        <family val="2"/>
      </rPr>
      <t>CS</t>
    </r>
    <r>
      <rPr>
        <sz val="10"/>
        <rFont val="Arial"/>
        <family val="2"/>
      </rPr>
      <t>, current sense</t>
    </r>
  </si>
  <si>
    <r>
      <t>R</t>
    </r>
    <r>
      <rPr>
        <b/>
        <vertAlign val="subscript"/>
        <sz val="10"/>
        <rFont val="Arial"/>
        <family val="2"/>
      </rPr>
      <t>PL</t>
    </r>
    <r>
      <rPr>
        <sz val="10"/>
        <rFont val="Arial"/>
        <family val="2"/>
      </rPr>
      <t>, power limit</t>
    </r>
  </si>
  <si>
    <r>
      <t>R</t>
    </r>
    <r>
      <rPr>
        <b/>
        <vertAlign val="subscript"/>
        <sz val="10"/>
        <rFont val="Arial"/>
        <family val="2"/>
      </rPr>
      <t>OVP1</t>
    </r>
  </si>
  <si>
    <r>
      <t>R</t>
    </r>
    <r>
      <rPr>
        <b/>
        <vertAlign val="subscript"/>
        <sz val="10"/>
        <rFont val="Arial"/>
        <family val="2"/>
      </rPr>
      <t>OVP2</t>
    </r>
  </si>
  <si>
    <r>
      <t>Recommended N</t>
    </r>
    <r>
      <rPr>
        <vertAlign val="subscript"/>
        <sz val="10"/>
        <rFont val="Arial"/>
        <family val="2"/>
      </rPr>
      <t>PRI</t>
    </r>
    <r>
      <rPr>
        <sz val="10"/>
        <rFont val="Arial"/>
        <family val="2"/>
      </rPr>
      <t>/N</t>
    </r>
    <r>
      <rPr>
        <vertAlign val="subscript"/>
        <sz val="10"/>
        <rFont val="Arial"/>
        <family val="2"/>
      </rPr>
      <t>SEC</t>
    </r>
    <r>
      <rPr>
        <sz val="10"/>
        <rFont val="Arial"/>
        <family val="2"/>
      </rPr>
      <t xml:space="preserve">  turns ratio</t>
    </r>
  </si>
  <si>
    <r>
      <t>N</t>
    </r>
    <r>
      <rPr>
        <vertAlign val="subscript"/>
        <sz val="10"/>
        <rFont val="Arial"/>
        <family val="2"/>
      </rPr>
      <t>PRI</t>
    </r>
    <r>
      <rPr>
        <sz val="10"/>
        <rFont val="Arial"/>
        <family val="2"/>
      </rPr>
      <t>/N</t>
    </r>
    <r>
      <rPr>
        <vertAlign val="subscript"/>
        <sz val="10"/>
        <rFont val="Arial"/>
        <family val="2"/>
      </rPr>
      <t>BIAS</t>
    </r>
  </si>
  <si>
    <r>
      <t xml:space="preserve">Input the </t>
    </r>
    <r>
      <rPr>
        <b/>
        <sz val="10"/>
        <rFont val="Arial"/>
        <family val="2"/>
      </rPr>
      <t>actual</t>
    </r>
    <r>
      <rPr>
        <sz val="10"/>
        <rFont val="Arial"/>
        <family val="2"/>
      </rPr>
      <t xml:space="preserve"> Primary to Secondary Turns Ratio, from the magnetic manufacturer's drawing spec, into cell B47.  This value should very closely match the recommended turns ratio calculated on the QR Design Tool sheet and shown for the User's convenience in cell E47 of this sheet.</t>
    </r>
  </si>
  <si>
    <r>
      <t xml:space="preserve">Input the </t>
    </r>
    <r>
      <rPr>
        <b/>
        <sz val="10"/>
        <rFont val="Arial"/>
        <family val="2"/>
      </rPr>
      <t>actual</t>
    </r>
    <r>
      <rPr>
        <sz val="10"/>
        <rFont val="Arial"/>
        <family val="2"/>
      </rPr>
      <t xml:space="preserve"> Primary to Bias Turns Ratio, from the magnetic manufacturer's drawing spec, into cell B50.  This value should very closely match the recommended turns ratio calculated on the QR Design Tool sheet and shown, for the User's convenience, in cell E50 of this sheet.</t>
    </r>
  </si>
  <si>
    <r>
      <t>Recommended N</t>
    </r>
    <r>
      <rPr>
        <vertAlign val="subscript"/>
        <sz val="10"/>
        <rFont val="Arial"/>
        <family val="2"/>
      </rPr>
      <t>PRI</t>
    </r>
    <r>
      <rPr>
        <sz val="10"/>
        <rFont val="Arial"/>
        <family val="2"/>
      </rPr>
      <t>/N</t>
    </r>
    <r>
      <rPr>
        <vertAlign val="subscript"/>
        <sz val="10"/>
        <rFont val="Arial"/>
        <family val="2"/>
      </rPr>
      <t>BIAS</t>
    </r>
    <r>
      <rPr>
        <sz val="10"/>
        <rFont val="Arial"/>
        <family val="2"/>
      </rPr>
      <t xml:space="preserve"> turns ratio</t>
    </r>
  </si>
  <si>
    <t>fs, actual (kHz) for Input High Line Map 1, 2, 3</t>
  </si>
  <si>
    <t>fs, actual (kHz) for Input Low Line Map 1, 2, 3</t>
  </si>
  <si>
    <t>fs, actual (kHz) for Rated P map 1, 2, 3</t>
  </si>
  <si>
    <t>fs, actual (kHz) for Power Limit Map 1, 2</t>
  </si>
  <si>
    <r>
      <t>C</t>
    </r>
    <r>
      <rPr>
        <vertAlign val="subscript"/>
        <sz val="10"/>
        <rFont val="Arial"/>
        <family val="2"/>
      </rPr>
      <t>VDD</t>
    </r>
  </si>
  <si>
    <r>
      <t xml:space="preserve">- </t>
    </r>
    <r>
      <rPr>
        <b/>
        <sz val="10"/>
        <rFont val="Arial"/>
        <family val="2"/>
      </rPr>
      <t>C</t>
    </r>
    <r>
      <rPr>
        <b/>
        <vertAlign val="subscript"/>
        <sz val="10"/>
        <rFont val="Arial"/>
        <family val="2"/>
      </rPr>
      <t>OSS</t>
    </r>
    <r>
      <rPr>
        <sz val="10"/>
        <rFont val="Arial"/>
        <family val="2"/>
      </rPr>
      <t xml:space="preserve"> is the output capacitance of the chosen MOSFET as stated in the MOSFET data sheet (enter, in Farads, in cell C33).  </t>
    </r>
    <r>
      <rPr>
        <b/>
        <sz val="10"/>
        <rFont val="Arial"/>
        <family val="2"/>
      </rPr>
      <t>V</t>
    </r>
    <r>
      <rPr>
        <b/>
        <vertAlign val="subscript"/>
        <sz val="10"/>
        <rFont val="Arial"/>
        <family val="2"/>
      </rPr>
      <t>DS</t>
    </r>
    <r>
      <rPr>
        <b/>
        <sz val="10"/>
        <rFont val="Arial"/>
        <family val="2"/>
      </rPr>
      <t xml:space="preserve"> test V </t>
    </r>
    <r>
      <rPr>
        <sz val="10"/>
        <rFont val="Arial"/>
        <family val="2"/>
      </rPr>
      <t>is the defined voltage, found in the MOSFET data sheet, that the C</t>
    </r>
    <r>
      <rPr>
        <vertAlign val="subscript"/>
        <sz val="10"/>
        <rFont val="Arial"/>
        <family val="2"/>
      </rPr>
      <t>OSS</t>
    </r>
    <r>
      <rPr>
        <sz val="10"/>
        <rFont val="Arial"/>
        <family val="2"/>
      </rPr>
      <t xml:space="preserve"> specification is tested at (enter, in Volts, in cell F33). </t>
    </r>
  </si>
  <si>
    <r>
      <t>C</t>
    </r>
    <r>
      <rPr>
        <vertAlign val="subscript"/>
        <sz val="10"/>
        <rFont val="Arial"/>
        <family val="2"/>
      </rPr>
      <t>ISS</t>
    </r>
  </si>
  <si>
    <r>
      <t xml:space="preserve">- </t>
    </r>
    <r>
      <rPr>
        <b/>
        <sz val="10"/>
        <rFont val="Arial"/>
        <family val="2"/>
      </rPr>
      <t>C</t>
    </r>
    <r>
      <rPr>
        <b/>
        <vertAlign val="subscript"/>
        <sz val="10"/>
        <rFont val="Arial"/>
        <family val="2"/>
      </rPr>
      <t>ISS</t>
    </r>
    <r>
      <rPr>
        <sz val="10"/>
        <rFont val="Arial"/>
        <family val="2"/>
      </rPr>
      <t xml:space="preserve"> is the input capacitance of the chosen MOSFET as stated in the MOSFET data sheet (enter, in Farads, in cell C36).</t>
    </r>
  </si>
  <si>
    <t>Minimum VDD Capacitor</t>
  </si>
  <si>
    <t>Start up resistor</t>
  </si>
  <si>
    <r>
      <t>R</t>
    </r>
    <r>
      <rPr>
        <vertAlign val="subscript"/>
        <sz val="10"/>
        <rFont val="Arial"/>
        <family val="2"/>
      </rPr>
      <t>SU</t>
    </r>
  </si>
  <si>
    <t>ALL CELLS WITH BLUE TEXT MUST BE VERIFIED AND UPDATED BY THE USER FOR EACH DESIGN.</t>
  </si>
  <si>
    <t>Series resistor</t>
  </si>
  <si>
    <r>
      <t>R</t>
    </r>
    <r>
      <rPr>
        <vertAlign val="subscript"/>
        <sz val="10"/>
        <rFont val="Arial"/>
        <family val="2"/>
      </rPr>
      <t>VDD</t>
    </r>
  </si>
  <si>
    <r>
      <t>V</t>
    </r>
    <r>
      <rPr>
        <vertAlign val="subscript"/>
        <sz val="10"/>
        <rFont val="Arial"/>
        <family val="2"/>
      </rPr>
      <t>DS1(OS)</t>
    </r>
  </si>
  <si>
    <t>- calculated Drain-Source overshoot voltage</t>
  </si>
  <si>
    <r>
      <t xml:space="preserve">- </t>
    </r>
    <r>
      <rPr>
        <b/>
        <sz val="10"/>
        <rFont val="Arial"/>
        <family val="2"/>
      </rPr>
      <t>C</t>
    </r>
    <r>
      <rPr>
        <b/>
        <vertAlign val="subscript"/>
        <sz val="10"/>
        <rFont val="Arial"/>
        <family val="2"/>
      </rPr>
      <t>OUT</t>
    </r>
    <r>
      <rPr>
        <sz val="10"/>
        <rFont val="Arial"/>
        <family val="2"/>
      </rPr>
      <t xml:space="preserve"> is the ideal value of the output capacitor. Select a standard value close to this.</t>
    </r>
  </si>
  <si>
    <r>
      <t>-</t>
    </r>
    <r>
      <rPr>
        <b/>
        <sz val="10"/>
        <rFont val="Arial"/>
        <family val="2"/>
      </rPr>
      <t xml:space="preserve"> t</t>
    </r>
    <r>
      <rPr>
        <b/>
        <vertAlign val="subscript"/>
        <sz val="10"/>
        <rFont val="Arial"/>
        <family val="2"/>
      </rPr>
      <t>SS</t>
    </r>
    <r>
      <rPr>
        <sz val="10"/>
        <rFont val="Arial"/>
        <family val="2"/>
      </rPr>
      <t>, minimum is the required soft start time</t>
    </r>
  </si>
  <si>
    <r>
      <t xml:space="preserve">- </t>
    </r>
    <r>
      <rPr>
        <b/>
        <sz val="10"/>
        <rFont val="Arial"/>
        <family val="2"/>
      </rPr>
      <t>T</t>
    </r>
    <r>
      <rPr>
        <b/>
        <vertAlign val="subscript"/>
        <sz val="10"/>
        <rFont val="Arial"/>
        <family val="2"/>
      </rPr>
      <t>SNUB</t>
    </r>
    <r>
      <rPr>
        <sz val="10"/>
        <rFont val="Arial"/>
        <family val="2"/>
      </rPr>
      <t xml:space="preserve"> is the period of the ringing frequency</t>
    </r>
  </si>
  <si>
    <r>
      <t xml:space="preserve">Note: </t>
    </r>
    <r>
      <rPr>
        <b/>
        <sz val="10"/>
        <rFont val="Arial"/>
        <family val="2"/>
      </rPr>
      <t>R</t>
    </r>
    <r>
      <rPr>
        <b/>
        <vertAlign val="subscript"/>
        <sz val="10"/>
        <rFont val="Arial"/>
        <family val="2"/>
      </rPr>
      <t>S</t>
    </r>
    <r>
      <rPr>
        <sz val="10"/>
        <rFont val="Arial"/>
        <family val="2"/>
      </rPr>
      <t xml:space="preserve"> and </t>
    </r>
    <r>
      <rPr>
        <b/>
        <sz val="10"/>
        <rFont val="Arial"/>
        <family val="2"/>
      </rPr>
      <t>R</t>
    </r>
    <r>
      <rPr>
        <b/>
        <vertAlign val="subscript"/>
        <sz val="10"/>
        <rFont val="Arial"/>
        <family val="2"/>
      </rPr>
      <t>PL</t>
    </r>
    <r>
      <rPr>
        <vertAlign val="subscript"/>
        <sz val="10"/>
        <rFont val="Arial"/>
        <family val="2"/>
      </rPr>
      <t xml:space="preserve"> </t>
    </r>
    <r>
      <rPr>
        <sz val="10"/>
        <rFont val="Arial"/>
        <family val="2"/>
      </rPr>
      <t>and the snubber follow simulation because the results are used in their calculation.</t>
    </r>
  </si>
  <si>
    <r>
      <t>-</t>
    </r>
    <r>
      <rPr>
        <b/>
        <sz val="10"/>
        <rFont val="Arial"/>
        <family val="2"/>
      </rPr>
      <t xml:space="preserve"> I</t>
    </r>
    <r>
      <rPr>
        <b/>
        <vertAlign val="subscript"/>
        <sz val="10"/>
        <rFont val="Arial"/>
        <family val="2"/>
      </rPr>
      <t>SEC(rms)</t>
    </r>
    <r>
      <rPr>
        <vertAlign val="subscript"/>
        <sz val="10"/>
        <rFont val="Arial"/>
        <family val="2"/>
      </rPr>
      <t xml:space="preserve"> </t>
    </r>
    <r>
      <rPr>
        <sz val="10"/>
        <rFont val="Arial"/>
        <family val="2"/>
      </rPr>
      <t>@</t>
    </r>
    <r>
      <rPr>
        <vertAlign val="subscript"/>
        <sz val="10"/>
        <rFont val="Arial"/>
        <family val="2"/>
      </rPr>
      <t xml:space="preserve"> </t>
    </r>
    <r>
      <rPr>
        <sz val="10"/>
        <rFont val="Arial"/>
        <family val="2"/>
      </rPr>
      <t>high line</t>
    </r>
    <r>
      <rPr>
        <vertAlign val="subscript"/>
        <sz val="10"/>
        <rFont val="Arial"/>
        <family val="2"/>
      </rPr>
      <t xml:space="preserve"> </t>
    </r>
    <r>
      <rPr>
        <sz val="10"/>
        <rFont val="Arial"/>
        <family val="2"/>
      </rPr>
      <t>is the maximum secondary side rms current at high line for designs with a PFC front end</t>
    </r>
  </si>
  <si>
    <r>
      <t>- Select a capacitor bank (C</t>
    </r>
    <r>
      <rPr>
        <vertAlign val="subscript"/>
        <sz val="10"/>
        <rFont val="Arial"/>
        <family val="2"/>
      </rPr>
      <t>OUT</t>
    </r>
    <r>
      <rPr>
        <sz val="10"/>
        <rFont val="Arial"/>
        <family val="2"/>
      </rPr>
      <t xml:space="preserve">) with a </t>
    </r>
    <r>
      <rPr>
        <b/>
        <sz val="10"/>
        <rFont val="Arial"/>
        <family val="2"/>
      </rPr>
      <t>total ESR</t>
    </r>
    <r>
      <rPr>
        <sz val="10"/>
        <rFont val="Arial"/>
        <family val="2"/>
      </rPr>
      <t xml:space="preserve"> less than this.</t>
    </r>
  </si>
  <si>
    <r>
      <t>- Select a capacitor bank (C</t>
    </r>
    <r>
      <rPr>
        <vertAlign val="subscript"/>
        <sz val="10"/>
        <rFont val="Arial"/>
        <family val="2"/>
      </rPr>
      <t>OUT</t>
    </r>
    <r>
      <rPr>
        <sz val="10"/>
        <rFont val="Arial"/>
        <family val="2"/>
      </rPr>
      <t>) to handle</t>
    </r>
    <r>
      <rPr>
        <b/>
        <sz val="10"/>
        <rFont val="Arial"/>
        <family val="2"/>
      </rPr>
      <t xml:space="preserve"> I</t>
    </r>
    <r>
      <rPr>
        <b/>
        <vertAlign val="subscript"/>
        <sz val="10"/>
        <rFont val="Arial"/>
        <family val="2"/>
      </rPr>
      <t>C(out)</t>
    </r>
    <r>
      <rPr>
        <b/>
        <sz val="10"/>
        <rFont val="Arial"/>
        <family val="2"/>
      </rPr>
      <t>,rms</t>
    </r>
    <r>
      <rPr>
        <sz val="10"/>
        <rFont val="Arial"/>
        <family val="2"/>
      </rPr>
      <t xml:space="preserve"> at low line.</t>
    </r>
  </si>
  <si>
    <r>
      <t>- Select a capacitor bank (C</t>
    </r>
    <r>
      <rPr>
        <vertAlign val="subscript"/>
        <sz val="10"/>
        <rFont val="Arial"/>
        <family val="2"/>
      </rPr>
      <t>OUT</t>
    </r>
    <r>
      <rPr>
        <sz val="10"/>
        <rFont val="Arial"/>
        <family val="2"/>
      </rPr>
      <t xml:space="preserve">) to handle </t>
    </r>
    <r>
      <rPr>
        <b/>
        <sz val="10"/>
        <rFont val="Arial"/>
        <family val="2"/>
      </rPr>
      <t>I</t>
    </r>
    <r>
      <rPr>
        <b/>
        <vertAlign val="subscript"/>
        <sz val="10"/>
        <rFont val="Arial"/>
        <family val="2"/>
      </rPr>
      <t>C(out)</t>
    </r>
    <r>
      <rPr>
        <b/>
        <sz val="10"/>
        <rFont val="Arial"/>
        <family val="2"/>
      </rPr>
      <t>,rms</t>
    </r>
    <r>
      <rPr>
        <sz val="10"/>
        <rFont val="Arial"/>
        <family val="2"/>
      </rPr>
      <t xml:space="preserve"> at high line.</t>
    </r>
  </si>
  <si>
    <r>
      <t xml:space="preserve">- </t>
    </r>
    <r>
      <rPr>
        <b/>
        <sz val="10"/>
        <rFont val="Arial"/>
        <family val="2"/>
      </rPr>
      <t>V</t>
    </r>
    <r>
      <rPr>
        <b/>
        <vertAlign val="subscript"/>
        <sz val="10"/>
        <rFont val="Arial"/>
        <family val="2"/>
      </rPr>
      <t>AC(max)</t>
    </r>
    <r>
      <rPr>
        <b/>
        <sz val="10"/>
        <rFont val="Arial"/>
        <family val="2"/>
      </rPr>
      <t xml:space="preserve"> shutdown margin % </t>
    </r>
    <r>
      <rPr>
        <sz val="10"/>
        <rFont val="Arial"/>
        <family val="2"/>
      </rPr>
      <t>is the User programmable Line Over Voltage Protection limit (enter the percentage of margin that the line voltage can exceed V</t>
    </r>
    <r>
      <rPr>
        <vertAlign val="subscript"/>
        <sz val="10"/>
        <rFont val="Arial"/>
        <family val="2"/>
      </rPr>
      <t>AC(max)</t>
    </r>
    <r>
      <rPr>
        <sz val="10"/>
        <rFont val="Arial"/>
        <family val="2"/>
      </rPr>
      <t xml:space="preserve"> before initiating Line OVP, in cell C17)</t>
    </r>
  </si>
  <si>
    <r>
      <t xml:space="preserve">- </t>
    </r>
    <r>
      <rPr>
        <b/>
        <sz val="10"/>
        <rFont val="Arial"/>
        <family val="2"/>
      </rPr>
      <t>C</t>
    </r>
    <r>
      <rPr>
        <b/>
        <vertAlign val="subscript"/>
        <sz val="10"/>
        <rFont val="Arial"/>
        <family val="2"/>
      </rPr>
      <t>VDD</t>
    </r>
    <r>
      <rPr>
        <sz val="10"/>
        <rFont val="Arial"/>
        <family val="2"/>
      </rPr>
      <t xml:space="preserve"> is the minimum required value for the bulk capacitor on VDD</t>
    </r>
  </si>
  <si>
    <r>
      <t xml:space="preserve">- </t>
    </r>
    <r>
      <rPr>
        <b/>
        <sz val="10"/>
        <rFont val="Arial"/>
        <family val="2"/>
      </rPr>
      <t>R</t>
    </r>
    <r>
      <rPr>
        <b/>
        <vertAlign val="subscript"/>
        <sz val="10"/>
        <rFont val="Arial"/>
        <family val="2"/>
      </rPr>
      <t>VDD</t>
    </r>
    <r>
      <rPr>
        <sz val="10"/>
        <rFont val="Arial"/>
        <family val="2"/>
      </rPr>
      <t xml:space="preserve"> is the series resistor from the Bias windings into VDD</t>
    </r>
  </si>
  <si>
    <r>
      <t>-</t>
    </r>
    <r>
      <rPr>
        <b/>
        <sz val="10"/>
        <rFont val="Arial"/>
        <family val="2"/>
      </rPr>
      <t xml:space="preserve"> R</t>
    </r>
    <r>
      <rPr>
        <b/>
        <vertAlign val="subscript"/>
        <sz val="10"/>
        <rFont val="Arial"/>
        <family val="2"/>
      </rPr>
      <t>SU</t>
    </r>
    <r>
      <rPr>
        <sz val="10"/>
        <rFont val="Arial"/>
        <family val="2"/>
      </rPr>
      <t xml:space="preserve"> is the start up resistor from the bulk input into VDD</t>
    </r>
  </si>
  <si>
    <r>
      <t xml:space="preserve">- </t>
    </r>
    <r>
      <rPr>
        <b/>
        <sz val="10"/>
        <rFont val="Arial"/>
        <family val="2"/>
      </rPr>
      <t>V</t>
    </r>
    <r>
      <rPr>
        <b/>
        <vertAlign val="subscript"/>
        <sz val="10"/>
        <rFont val="Arial"/>
        <family val="2"/>
      </rPr>
      <t>DS</t>
    </r>
    <r>
      <rPr>
        <sz val="10"/>
        <rFont val="Arial"/>
        <family val="2"/>
      </rPr>
      <t xml:space="preserve"> </t>
    </r>
    <r>
      <rPr>
        <b/>
        <sz val="10"/>
        <rFont val="Arial"/>
        <family val="2"/>
      </rPr>
      <t>stress</t>
    </r>
    <r>
      <rPr>
        <sz val="10"/>
        <rFont val="Arial"/>
        <family val="2"/>
      </rPr>
      <t xml:space="preserve"> is the resultant maximum allowed voltage on switch due to User selected derating</t>
    </r>
  </si>
  <si>
    <r>
      <t>- the ideal value of the Power Limit Resistor (</t>
    </r>
    <r>
      <rPr>
        <b/>
        <sz val="10"/>
        <rFont val="Arial"/>
        <family val="2"/>
      </rPr>
      <t>R</t>
    </r>
    <r>
      <rPr>
        <b/>
        <vertAlign val="subscript"/>
        <sz val="10"/>
        <rFont val="Arial"/>
        <family val="2"/>
      </rPr>
      <t>PL</t>
    </r>
    <r>
      <rPr>
        <sz val="10"/>
        <rFont val="Arial"/>
        <family val="2"/>
      </rPr>
      <t>), the peak voltage across it at minimum line (</t>
    </r>
    <r>
      <rPr>
        <b/>
        <sz val="10"/>
        <rFont val="Arial"/>
        <family val="2"/>
      </rPr>
      <t>V</t>
    </r>
    <r>
      <rPr>
        <b/>
        <vertAlign val="subscript"/>
        <sz val="10"/>
        <rFont val="Arial"/>
        <family val="2"/>
      </rPr>
      <t>Rpl</t>
    </r>
    <r>
      <rPr>
        <b/>
        <sz val="10"/>
        <rFont val="Arial"/>
        <family val="2"/>
      </rPr>
      <t>, min line</t>
    </r>
    <r>
      <rPr>
        <sz val="10"/>
        <rFont val="Arial"/>
        <family val="2"/>
      </rPr>
      <t>), and the peak voltage across it at maximum line (</t>
    </r>
    <r>
      <rPr>
        <b/>
        <sz val="10"/>
        <rFont val="Arial"/>
        <family val="2"/>
      </rPr>
      <t>V</t>
    </r>
    <r>
      <rPr>
        <b/>
        <vertAlign val="subscript"/>
        <sz val="10"/>
        <rFont val="Arial"/>
        <family val="2"/>
      </rPr>
      <t>Rpl</t>
    </r>
    <r>
      <rPr>
        <b/>
        <sz val="10"/>
        <rFont val="Arial"/>
        <family val="2"/>
      </rPr>
      <t>, max line</t>
    </r>
    <r>
      <rPr>
        <sz val="10"/>
        <rFont val="Arial"/>
        <family val="2"/>
      </rPr>
      <t>). RPL is adjusted for actual turns ratio and carried over to the QR Simulator page where the User must select a standard value.</t>
    </r>
  </si>
  <si>
    <r>
      <t>T</t>
    </r>
    <r>
      <rPr>
        <b/>
        <vertAlign val="subscript"/>
        <sz val="10"/>
        <rFont val="Arial"/>
        <family val="2"/>
      </rPr>
      <t>DEMAG</t>
    </r>
    <r>
      <rPr>
        <b/>
        <sz val="10"/>
        <rFont val="Arial"/>
        <family val="2"/>
      </rPr>
      <t>:</t>
    </r>
    <r>
      <rPr>
        <sz val="10"/>
        <rFont val="Arial"/>
        <family val="2"/>
      </rPr>
      <t xml:space="preserve">  time required for the inductor to demagnetize at maximum load</t>
    </r>
  </si>
  <si>
    <r>
      <t xml:space="preserve">Note: The converter requirements and recommended component values have been carried over from the QR Designer Tool page and are shown in </t>
    </r>
    <r>
      <rPr>
        <b/>
        <sz val="12"/>
        <color indexed="10"/>
        <rFont val="Arial"/>
        <family val="2"/>
      </rPr>
      <t>RED</t>
    </r>
    <r>
      <rPr>
        <b/>
        <sz val="12"/>
        <rFont val="Arial"/>
        <family val="2"/>
      </rPr>
      <t xml:space="preserve">.  </t>
    </r>
    <r>
      <rPr>
        <b/>
        <sz val="16"/>
        <rFont val="Arial"/>
        <family val="2"/>
      </rPr>
      <t xml:space="preserve">The USER MUST TYPE IN STANDARD COMPONENT VALUES IN THE </t>
    </r>
    <r>
      <rPr>
        <b/>
        <sz val="16"/>
        <color indexed="12"/>
        <rFont val="Arial"/>
        <family val="2"/>
      </rPr>
      <t>BLUE</t>
    </r>
    <r>
      <rPr>
        <b/>
        <sz val="16"/>
        <rFont val="Arial"/>
        <family val="2"/>
      </rPr>
      <t xml:space="preserve"> CELLS FOR THE SIMULATOR TO GENERATE THE DESIGN SPECIFIC MODE CHARTS</t>
    </r>
  </si>
  <si>
    <r>
      <t>In regards to the above Mode Plots:</t>
    </r>
    <r>
      <rPr>
        <sz val="10"/>
        <rFont val="Arial"/>
        <family val="2"/>
      </rPr>
      <t xml:space="preserve">  The green shaded region represents the Green Mode area of operation where the controller applies packets of 40kHz pulses to the MOSFET gate.  The frequency shown is actually the average switching frequency of the 40kHz packets of pulses while in this region.  Ideally, a design will transition from Green mode into Frequency Foldback mode (FFM) at approximately 10% load.  From FFM, with increasing load, the converter will either operate in Discontinuous Mode (DCM) at which point the frequency will be fixed at 130kHz, or transition directly into Quasi-Resonant mode (QR) where the frequency will decrease with increasing load.  Due to the limitaions of this QR Simulator spreadsheet. the Mode plots do NOT accurately show the internal 40kHz clamp of Quasi-Resonant operation.  As shown below, once the switching frequency hits the internal 40kHz minimum frequency clamp, the operating frequency will begin to increase with increasing load, dependent upon line and load conditions.  </t>
    </r>
  </si>
  <si>
    <t>Flyback Inductor Specification for the UCC28600 Greenmode Quasi-Resonant Converter</t>
  </si>
  <si>
    <t>Topology:</t>
  </si>
  <si>
    <t>Quasi-Resonant Flyback with Bias Winding</t>
  </si>
  <si>
    <t>Main Output Power:</t>
  </si>
  <si>
    <t>Anticipated Overall Efficiency of the Converter:</t>
  </si>
  <si>
    <t>Minimum Input Voltage:</t>
  </si>
  <si>
    <t>Maximum Input Voltage:</t>
  </si>
  <si>
    <t>Maximum Switching Frequency:</t>
  </si>
  <si>
    <t xml:space="preserve">Minimum Switching Frequency: </t>
  </si>
  <si>
    <t>OUTPUTS:</t>
  </si>
  <si>
    <r>
      <t xml:space="preserve">Design Synthesis - type in the </t>
    </r>
    <r>
      <rPr>
        <b/>
        <sz val="14"/>
        <color indexed="12"/>
        <rFont val="Arial"/>
        <family val="2"/>
      </rPr>
      <t>blue data</t>
    </r>
    <r>
      <rPr>
        <b/>
        <sz val="14"/>
        <rFont val="Arial"/>
        <family val="2"/>
      </rPr>
      <t xml:space="preserve"> and the spreadsheet responds with the calculated </t>
    </r>
    <r>
      <rPr>
        <b/>
        <sz val="14"/>
        <color indexed="10"/>
        <rFont val="Arial"/>
        <family val="2"/>
      </rPr>
      <t>red data</t>
    </r>
    <r>
      <rPr>
        <b/>
        <sz val="14"/>
        <rFont val="Arial"/>
        <family val="2"/>
      </rPr>
      <t>.</t>
    </r>
  </si>
  <si>
    <t>At this point, design the transformer using the magnetizing inductance and approximate turns ratio that was recommended by the QR Design Tool worksheet.  The Magnetic Specification sheet can be printed and used as a guideline for the recommended transformer design.  The next step is to see how the design performs using the QR Simulator worksheet.</t>
  </si>
  <si>
    <t>Isolation Requirement:</t>
  </si>
  <si>
    <t xml:space="preserve">The flyback transformer plays a crucial role in the performance of the green mode controller.  Considerations must be given to adequate coupling for the bias windings,  minimizing leakage inductance, and minimizing audible noise.  All of these criteria can easily be met with proper transformer design from the start. </t>
  </si>
  <si>
    <t>Peak PRIMARY Current:</t>
  </si>
  <si>
    <t>PRIMARY RMS Current:</t>
  </si>
  <si>
    <t>SECONDARY Output Voltage:</t>
  </si>
  <si>
    <t>Duty Cycle at Minimum Input Voltage, Maximum Load:</t>
  </si>
  <si>
    <t>Duty Cycle at Maximum Input Voltage, Maximum Load:</t>
  </si>
  <si>
    <t>SECONDARY Output Peak Current:</t>
  </si>
  <si>
    <t>SECONDARY RMS Current:</t>
  </si>
  <si>
    <t>BIAS Voltage:</t>
  </si>
  <si>
    <t>Approximate RMS BIAS Current:</t>
  </si>
  <si>
    <r>
      <t>PRIMARY to SECONDARY Turns Ratio (N</t>
    </r>
    <r>
      <rPr>
        <vertAlign val="subscript"/>
        <sz val="10"/>
        <rFont val="Arial"/>
        <family val="2"/>
      </rPr>
      <t>PRI/</t>
    </r>
    <r>
      <rPr>
        <sz val="10"/>
        <rFont val="Arial"/>
        <family val="2"/>
      </rPr>
      <t>N</t>
    </r>
    <r>
      <rPr>
        <vertAlign val="subscript"/>
        <sz val="10"/>
        <rFont val="Arial"/>
        <family val="2"/>
      </rPr>
      <t>SEC</t>
    </r>
    <r>
      <rPr>
        <sz val="10"/>
        <rFont val="Arial"/>
        <family val="2"/>
      </rPr>
      <t>):</t>
    </r>
  </si>
  <si>
    <r>
      <t>PRIMARY to BIAS Turns Ratio (N</t>
    </r>
    <r>
      <rPr>
        <vertAlign val="subscript"/>
        <sz val="10"/>
        <rFont val="Arial"/>
        <family val="2"/>
      </rPr>
      <t>PRI</t>
    </r>
    <r>
      <rPr>
        <sz val="10"/>
        <rFont val="Arial"/>
        <family val="2"/>
      </rPr>
      <t>/N</t>
    </r>
    <r>
      <rPr>
        <vertAlign val="subscript"/>
        <sz val="10"/>
        <rFont val="Arial"/>
        <family val="2"/>
      </rPr>
      <t>BIAS</t>
    </r>
    <r>
      <rPr>
        <sz val="10"/>
        <rFont val="Arial"/>
        <family val="2"/>
      </rPr>
      <t>):</t>
    </r>
  </si>
  <si>
    <t>INDUCTANCE AND TURNS RATIO:</t>
  </si>
  <si>
    <t>Burst packets of 40kHz pulses at loads of 15% or less</t>
  </si>
  <si>
    <t>SPECIAL NOTES REGARDING THE FLYBACK TRANSFORMER:</t>
  </si>
  <si>
    <r>
      <t>2.</t>
    </r>
    <r>
      <rPr>
        <sz val="10"/>
        <rFont val="Arial"/>
        <family val="2"/>
      </rPr>
      <t xml:space="preserve">  Use bundled stranded wire.</t>
    </r>
  </si>
  <si>
    <r>
      <t>3.</t>
    </r>
    <r>
      <rPr>
        <sz val="10"/>
        <rFont val="Arial"/>
        <family val="2"/>
      </rPr>
      <t xml:space="preserve">  Encase the windings in as much Ferrite as possible; a round post core is a must to help reduce leakage.</t>
    </r>
  </si>
  <si>
    <r>
      <t>4.</t>
    </r>
    <r>
      <rPr>
        <sz val="10"/>
        <rFont val="Arial"/>
        <family val="2"/>
      </rPr>
      <t xml:space="preserve">  Do not use tape barriers.  Use triple insulated wire on the SECONDARY to meet the isolation requirement while minimizing leakage inductance.</t>
    </r>
  </si>
  <si>
    <r>
      <t>5.</t>
    </r>
    <r>
      <rPr>
        <sz val="10"/>
        <rFont val="Arial"/>
        <family val="2"/>
      </rPr>
      <t xml:space="preserve">  Must be potted or heavily varnished to reduce audible noise.  Also, fill the gap with flexible epoxy to reduce audible noise.</t>
    </r>
  </si>
  <si>
    <r>
      <t xml:space="preserve">6.  </t>
    </r>
    <r>
      <rPr>
        <sz val="10"/>
        <rFont val="Arial"/>
        <family val="2"/>
      </rPr>
      <t>Distribute the BIAS windings over the entire width of the bobbin.</t>
    </r>
  </si>
  <si>
    <r>
      <t>7.</t>
    </r>
    <r>
      <rPr>
        <sz val="10"/>
        <rFont val="Arial"/>
        <family val="2"/>
      </rPr>
      <t xml:space="preserve">  Place the dot end of the PRIMARY winding as close to the core as possible to help shield the dv/dt noise.</t>
    </r>
  </si>
  <si>
    <r>
      <t>8.</t>
    </r>
    <r>
      <rPr>
        <sz val="10"/>
        <rFont val="Arial"/>
        <family val="2"/>
      </rPr>
      <t xml:space="preserve">  Wind the SECONDARY so that the non-dot end is the outer most layer.</t>
    </r>
  </si>
  <si>
    <r>
      <t>I</t>
    </r>
    <r>
      <rPr>
        <vertAlign val="subscript"/>
        <sz val="10"/>
        <rFont val="Arial"/>
        <family val="2"/>
      </rPr>
      <t>RMS</t>
    </r>
  </si>
  <si>
    <r>
      <t>I</t>
    </r>
    <r>
      <rPr>
        <vertAlign val="subscript"/>
        <sz val="10"/>
        <rFont val="Arial"/>
        <family val="2"/>
      </rPr>
      <t>PEAK</t>
    </r>
  </si>
  <si>
    <r>
      <t xml:space="preserve">- </t>
    </r>
    <r>
      <rPr>
        <b/>
        <sz val="10"/>
        <rFont val="Arial"/>
        <family val="2"/>
      </rPr>
      <t>I</t>
    </r>
    <r>
      <rPr>
        <b/>
        <vertAlign val="subscript"/>
        <sz val="10"/>
        <rFont val="Arial"/>
        <family val="2"/>
      </rPr>
      <t>RMS</t>
    </r>
    <r>
      <rPr>
        <sz val="10"/>
        <rFont val="Arial"/>
        <family val="2"/>
      </rPr>
      <t xml:space="preserve"> is the RMS output current</t>
    </r>
  </si>
  <si>
    <r>
      <t xml:space="preserve">- </t>
    </r>
    <r>
      <rPr>
        <b/>
        <sz val="10"/>
        <rFont val="Arial"/>
        <family val="2"/>
      </rPr>
      <t>I</t>
    </r>
    <r>
      <rPr>
        <b/>
        <vertAlign val="subscript"/>
        <sz val="10"/>
        <rFont val="Arial"/>
        <family val="2"/>
      </rPr>
      <t>PEAK</t>
    </r>
    <r>
      <rPr>
        <sz val="10"/>
        <rFont val="Arial"/>
        <family val="2"/>
      </rPr>
      <t xml:space="preserve"> is the PEAK output current</t>
    </r>
  </si>
  <si>
    <t>Be sure to Enable the Macros and to have a check in the AnalysisT oolPak box in the Add-Ins section of the Tools menu.</t>
  </si>
  <si>
    <t>TR, dMAG(valley)</t>
  </si>
  <si>
    <t>residue dMAG(l)</t>
  </si>
  <si>
    <t>VV, valley VDS</t>
  </si>
  <si>
    <t>CDS, total</t>
  </si>
  <si>
    <t>TZV</t>
  </si>
  <si>
    <t>IP1</t>
  </si>
  <si>
    <t>IP2</t>
  </si>
  <si>
    <t>TD(mag)</t>
  </si>
  <si>
    <t>ICS(pl)</t>
  </si>
  <si>
    <t>VCS(pk)</t>
  </si>
  <si>
    <t>PIN</t>
  </si>
  <si>
    <r>
      <t xml:space="preserve">- </t>
    </r>
    <r>
      <rPr>
        <b/>
        <sz val="10"/>
        <rFont val="Arial"/>
        <family val="2"/>
      </rPr>
      <t>V</t>
    </r>
    <r>
      <rPr>
        <b/>
        <vertAlign val="subscript"/>
        <sz val="10"/>
        <rFont val="Arial"/>
        <family val="2"/>
      </rPr>
      <t>BULK(ripple)</t>
    </r>
    <r>
      <rPr>
        <b/>
        <sz val="10"/>
        <rFont val="Arial"/>
        <family val="2"/>
      </rPr>
      <t>, %pp</t>
    </r>
    <r>
      <rPr>
        <sz val="10"/>
        <rFont val="Arial"/>
        <family val="2"/>
      </rPr>
      <t xml:space="preserve"> is the ripple voltage on the input voltage (enter the percentage of peak to peak ripple voltage on the input bus in cell C16). Select Cin accordingly</t>
    </r>
  </si>
  <si>
    <t>Switching frequency at minimum line maximum load</t>
  </si>
  <si>
    <t>- calculated circuit capacitances</t>
  </si>
  <si>
    <t xml:space="preserve">max L </t>
  </si>
  <si>
    <r>
      <t>f</t>
    </r>
    <r>
      <rPr>
        <vertAlign val="subscript"/>
        <sz val="12"/>
        <rFont val="Arial"/>
        <family val="2"/>
      </rPr>
      <t>S(min)</t>
    </r>
    <r>
      <rPr>
        <vertAlign val="subscript"/>
        <sz val="10"/>
        <rFont val="Arial"/>
        <family val="2"/>
      </rPr>
      <t xml:space="preserve"> </t>
    </r>
  </si>
  <si>
    <r>
      <t xml:space="preserve">1.  </t>
    </r>
    <r>
      <rPr>
        <sz val="10"/>
        <rFont val="Arial"/>
        <family val="2"/>
      </rPr>
      <t>The BIAS windings must be well coupled to the PRIMARY.  Interleave BIAS and SECONDARY windings between the primary for equal coupling.</t>
    </r>
  </si>
</sst>
</file>

<file path=xl/styles.xml><?xml version="1.0" encoding="utf-8"?>
<styleSheet xmlns="http://schemas.openxmlformats.org/spreadsheetml/2006/main">
  <numFmts count="8">
    <numFmt numFmtId="176" formatCode="0.000E+00"/>
    <numFmt numFmtId="177" formatCode="0.0"/>
    <numFmt numFmtId="178" formatCode="0.0E+00"/>
    <numFmt numFmtId="179" formatCode="0.000"/>
    <numFmt numFmtId="180" formatCode=";;;"/>
    <numFmt numFmtId="181" formatCode="##0.000E+0"/>
    <numFmt numFmtId="182" formatCode="##0E+0"/>
    <numFmt numFmtId="183" formatCode="##0.00E+0"/>
  </numFmts>
  <fonts count="42">
    <font>
      <sz val="10"/>
      <name val="Arial"/>
      <family val="2"/>
    </font>
    <font>
      <sz val="10"/>
      <name val="Arial"/>
      <family val="2"/>
    </font>
    <font>
      <sz val="8"/>
      <name val="Arial"/>
      <family val="2"/>
    </font>
    <font>
      <b/>
      <sz val="10"/>
      <name val="Arial"/>
      <family val="2"/>
    </font>
    <font>
      <b/>
      <sz val="10"/>
      <color indexed="12"/>
      <name val="Arial"/>
      <family val="2"/>
    </font>
    <font>
      <b/>
      <sz val="10"/>
      <color indexed="10"/>
      <name val="Arial"/>
      <family val="2"/>
    </font>
    <font>
      <sz val="10"/>
      <name val="Arial"/>
      <family val="2"/>
    </font>
    <font>
      <sz val="10"/>
      <color indexed="12"/>
      <name val="Arial"/>
      <family val="2"/>
    </font>
    <font>
      <sz val="10"/>
      <color indexed="10"/>
      <name val="Arial"/>
      <family val="2"/>
    </font>
    <font>
      <sz val="10"/>
      <color indexed="57"/>
      <name val="Arial"/>
      <family val="2"/>
    </font>
    <font>
      <b/>
      <sz val="18"/>
      <name val="Arial"/>
      <family val="2"/>
    </font>
    <font>
      <sz val="10"/>
      <color indexed="8"/>
      <name val="Arial"/>
      <family val="2"/>
    </font>
    <font>
      <b/>
      <sz val="12"/>
      <name val="Arial"/>
      <family val="2"/>
    </font>
    <font>
      <b/>
      <sz val="24"/>
      <name val="Arial"/>
      <family val="2"/>
    </font>
    <font>
      <sz val="12"/>
      <name val="MS Sans Serif"/>
      <family val="2"/>
    </font>
    <font>
      <b/>
      <sz val="12"/>
      <name val="Arial"/>
      <family val="2"/>
    </font>
    <font>
      <b/>
      <u/>
      <sz val="12"/>
      <name val="Arial"/>
      <family val="2"/>
    </font>
    <font>
      <b/>
      <i/>
      <sz val="23"/>
      <name val="Arial"/>
      <family val="2"/>
    </font>
    <font>
      <sz val="10"/>
      <name val="Symbol"/>
      <family val="1"/>
      <charset val="2"/>
    </font>
    <font>
      <sz val="10"/>
      <color indexed="46"/>
      <name val="Arial"/>
      <family val="2"/>
    </font>
    <font>
      <vertAlign val="subscript"/>
      <sz val="10"/>
      <name val="Arial"/>
      <family val="2"/>
    </font>
    <font>
      <b/>
      <vertAlign val="subscript"/>
      <sz val="10"/>
      <name val="Arial"/>
      <family val="2"/>
    </font>
    <font>
      <b/>
      <sz val="10"/>
      <color indexed="8"/>
      <name val="Arial"/>
      <family val="2"/>
    </font>
    <font>
      <b/>
      <vertAlign val="subscript"/>
      <sz val="10"/>
      <color indexed="8"/>
      <name val="Arial"/>
      <family val="2"/>
    </font>
    <font>
      <sz val="10"/>
      <name val="Symbol Set SWA"/>
      <family val="1"/>
      <charset val="2"/>
    </font>
    <font>
      <b/>
      <vertAlign val="subscript"/>
      <sz val="18"/>
      <name val="Arial"/>
      <family val="2"/>
    </font>
    <font>
      <vertAlign val="superscript"/>
      <sz val="10"/>
      <name val="Arial"/>
      <family val="2"/>
    </font>
    <font>
      <sz val="12"/>
      <name val="Arial"/>
      <family val="2"/>
    </font>
    <font>
      <b/>
      <sz val="14"/>
      <name val="Arial"/>
      <family val="2"/>
    </font>
    <font>
      <b/>
      <sz val="14"/>
      <color indexed="12"/>
      <name val="Arial"/>
      <family val="2"/>
    </font>
    <font>
      <b/>
      <sz val="14"/>
      <color indexed="10"/>
      <name val="Arial"/>
      <family val="2"/>
    </font>
    <font>
      <vertAlign val="subscript"/>
      <sz val="12"/>
      <name val="Arial"/>
      <family val="2"/>
    </font>
    <font>
      <b/>
      <sz val="16"/>
      <name val="Arial"/>
      <family val="2"/>
    </font>
    <font>
      <b/>
      <sz val="16"/>
      <color indexed="12"/>
      <name val="Arial"/>
      <family val="2"/>
    </font>
    <font>
      <b/>
      <sz val="16"/>
      <color indexed="10"/>
      <name val="Arial"/>
      <family val="2"/>
    </font>
    <font>
      <b/>
      <sz val="12"/>
      <color indexed="10"/>
      <name val="Arial"/>
      <family val="2"/>
    </font>
    <font>
      <b/>
      <vertAlign val="subscript"/>
      <sz val="12"/>
      <name val="Arial"/>
      <family val="2"/>
    </font>
    <font>
      <b/>
      <i/>
      <sz val="14"/>
      <color indexed="12"/>
      <name val="Arial"/>
      <family val="2"/>
    </font>
    <font>
      <sz val="12"/>
      <name val="Times New Roman"/>
      <family val="1"/>
    </font>
    <font>
      <sz val="10"/>
      <color indexed="9"/>
      <name val="Arial"/>
      <family val="2"/>
    </font>
    <font>
      <b/>
      <sz val="10"/>
      <color indexed="9"/>
      <name val="Arial"/>
      <family val="2"/>
    </font>
    <font>
      <sz val="10"/>
      <color indexed="10"/>
      <name val="Arial"/>
      <family val="2"/>
    </font>
  </fonts>
  <fills count="4">
    <fill>
      <patternFill patternType="none"/>
    </fill>
    <fill>
      <patternFill patternType="gray125"/>
    </fill>
    <fill>
      <patternFill patternType="solid">
        <fgColor indexed="13"/>
        <bgColor indexed="64"/>
      </patternFill>
    </fill>
    <fill>
      <patternFill patternType="solid">
        <fgColor indexed="44"/>
        <bgColor indexed="64"/>
      </patternFill>
    </fill>
  </fills>
  <borders count="17">
    <border>
      <left/>
      <right/>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ck">
        <color indexed="12"/>
      </left>
      <right/>
      <top/>
      <bottom/>
      <diagonal/>
    </border>
    <border>
      <left/>
      <right style="thick">
        <color indexed="12"/>
      </right>
      <top/>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s>
  <cellStyleXfs count="1">
    <xf numFmtId="0" fontId="0" fillId="0" borderId="0"/>
  </cellStyleXfs>
  <cellXfs count="185">
    <xf numFmtId="0" fontId="0" fillId="0" borderId="0" xfId="0"/>
    <xf numFmtId="0" fontId="0" fillId="0" borderId="0" xfId="0" applyAlignment="1">
      <alignment wrapText="1"/>
    </xf>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13" fillId="2" borderId="0" xfId="0" applyFont="1" applyFill="1" applyBorder="1"/>
    <xf numFmtId="0" fontId="14" fillId="2" borderId="0" xfId="0" applyFont="1" applyFill="1" applyBorder="1"/>
    <xf numFmtId="0" fontId="10" fillId="2" borderId="0" xfId="0" applyFont="1" applyFill="1" applyBorder="1"/>
    <xf numFmtId="0" fontId="15" fillId="2" borderId="0" xfId="0" applyFont="1"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xf numFmtId="0" fontId="17" fillId="2" borderId="0" xfId="0" applyFont="1" applyFill="1" applyBorder="1"/>
    <xf numFmtId="0" fontId="17" fillId="2" borderId="9" xfId="0" applyFont="1" applyFill="1" applyBorder="1"/>
    <xf numFmtId="0" fontId="14" fillId="2" borderId="10" xfId="0" applyFont="1"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9" xfId="0" applyFill="1" applyBorder="1"/>
    <xf numFmtId="0" fontId="16" fillId="2" borderId="0" xfId="0" applyFont="1" applyFill="1" applyBorder="1"/>
    <xf numFmtId="0" fontId="6" fillId="2" borderId="0" xfId="0" applyFont="1" applyFill="1" applyBorder="1" applyAlignment="1">
      <alignment wrapText="1"/>
    </xf>
    <xf numFmtId="0" fontId="0" fillId="2" borderId="0" xfId="0" applyFill="1" applyBorder="1" applyAlignment="1">
      <alignment wrapText="1"/>
    </xf>
    <xf numFmtId="0" fontId="0" fillId="2" borderId="14" xfId="0" applyFill="1" applyBorder="1"/>
    <xf numFmtId="0" fontId="0" fillId="2" borderId="15" xfId="0" applyFill="1" applyBorder="1" applyAlignment="1">
      <alignment wrapText="1"/>
    </xf>
    <xf numFmtId="0" fontId="0" fillId="2" borderId="16" xfId="0" applyFill="1" applyBorder="1"/>
    <xf numFmtId="0" fontId="8" fillId="0" borderId="9" xfId="0" applyFont="1" applyBorder="1" applyAlignment="1">
      <alignment vertical="center" wrapText="1"/>
    </xf>
    <xf numFmtId="0" fontId="8" fillId="0" borderId="0" xfId="0" applyFont="1" applyAlignment="1"/>
    <xf numFmtId="0" fontId="0" fillId="0" borderId="0" xfId="0" applyAlignment="1">
      <alignment vertical="center"/>
    </xf>
    <xf numFmtId="0" fontId="8" fillId="0" borderId="0" xfId="0" applyFont="1" applyAlignment="1" applyProtection="1">
      <alignment vertical="center"/>
    </xf>
    <xf numFmtId="179" fontId="0" fillId="0" borderId="0" xfId="0" applyNumberFormat="1" applyAlignment="1">
      <alignment vertical="center"/>
    </xf>
    <xf numFmtId="179" fontId="8" fillId="0" borderId="0" xfId="0" applyNumberFormat="1" applyFont="1" applyAlignment="1" applyProtection="1">
      <alignment vertical="center"/>
    </xf>
    <xf numFmtId="48" fontId="8" fillId="0" borderId="0" xfId="0" applyNumberFormat="1"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11" fontId="7" fillId="0" borderId="0" xfId="0" applyNumberFormat="1" applyFont="1" applyAlignment="1" applyProtection="1">
      <alignment vertical="center"/>
    </xf>
    <xf numFmtId="0" fontId="7" fillId="0" borderId="0" xfId="0" applyFont="1" applyAlignment="1" applyProtection="1">
      <alignment vertical="center" wrapText="1"/>
      <protection locked="0"/>
    </xf>
    <xf numFmtId="48" fontId="7" fillId="0" borderId="0" xfId="0" applyNumberFormat="1" applyFont="1" applyAlignment="1" applyProtection="1">
      <alignment vertical="center"/>
      <protection locked="0"/>
    </xf>
    <xf numFmtId="179" fontId="7"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11" fontId="8" fillId="0" borderId="0" xfId="0" applyNumberFormat="1" applyFont="1" applyAlignment="1" applyProtection="1">
      <alignment vertical="center"/>
    </xf>
    <xf numFmtId="48" fontId="0" fillId="0" borderId="0" xfId="0" applyNumberFormat="1" applyAlignment="1">
      <alignment vertical="center"/>
    </xf>
    <xf numFmtId="11" fontId="7" fillId="0" borderId="0" xfId="0" applyNumberFormat="1" applyFont="1" applyAlignment="1" applyProtection="1">
      <alignment vertical="center"/>
      <protection locked="0"/>
    </xf>
    <xf numFmtId="176" fontId="19" fillId="0" borderId="0" xfId="0" applyNumberFormat="1" applyFont="1" applyAlignment="1" applyProtection="1">
      <alignment vertical="center"/>
    </xf>
    <xf numFmtId="0" fontId="3" fillId="0" borderId="0" xfId="0" applyNumberFormat="1" applyFont="1" applyAlignment="1" applyProtection="1">
      <alignment vertical="center"/>
    </xf>
    <xf numFmtId="0" fontId="3" fillId="0" borderId="0" xfId="0" applyNumberFormat="1" applyFont="1" applyAlignment="1" applyProtection="1">
      <alignment horizontal="center" vertical="center"/>
    </xf>
    <xf numFmtId="0" fontId="7" fillId="0" borderId="0" xfId="0" applyFont="1" applyBorder="1" applyAlignment="1" applyProtection="1">
      <alignment vertical="center"/>
      <protection locked="0"/>
    </xf>
    <xf numFmtId="179" fontId="8" fillId="0" borderId="0" xfId="0" applyNumberFormat="1" applyFont="1" applyBorder="1" applyAlignment="1" applyProtection="1">
      <alignment vertical="center"/>
    </xf>
    <xf numFmtId="48" fontId="7" fillId="0" borderId="0" xfId="0" applyNumberFormat="1" applyFont="1" applyFill="1" applyAlignment="1" applyProtection="1">
      <alignment vertical="center"/>
      <protection locked="0"/>
    </xf>
    <xf numFmtId="48" fontId="8" fillId="0" borderId="0" xfId="0" applyNumberFormat="1" applyFont="1" applyBorder="1" applyAlignment="1" applyProtection="1">
      <alignment vertical="center"/>
    </xf>
    <xf numFmtId="182" fontId="7" fillId="0" borderId="0" xfId="0" applyNumberFormat="1" applyFont="1" applyAlignment="1" applyProtection="1">
      <alignment vertical="center"/>
      <protection locked="0"/>
    </xf>
    <xf numFmtId="0" fontId="32" fillId="0" borderId="0" xfId="0" applyFont="1" applyAlignment="1">
      <alignment vertical="center"/>
    </xf>
    <xf numFmtId="182" fontId="0" fillId="0" borderId="0" xfId="0" applyNumberFormat="1" applyAlignment="1">
      <alignment vertical="center"/>
    </xf>
    <xf numFmtId="2" fontId="0" fillId="0" borderId="0" xfId="0" applyNumberFormat="1" applyAlignment="1">
      <alignment vertical="center"/>
    </xf>
    <xf numFmtId="0" fontId="6" fillId="0" borderId="0" xfId="0" applyFont="1" applyAlignment="1" applyProtection="1">
      <alignment vertical="center"/>
    </xf>
    <xf numFmtId="0" fontId="0" fillId="0" borderId="0" xfId="0" applyFill="1" applyAlignment="1" applyProtection="1">
      <alignment vertical="center"/>
    </xf>
    <xf numFmtId="0" fontId="12" fillId="0" borderId="0" xfId="0" applyFont="1" applyAlignment="1" applyProtection="1">
      <alignment vertical="center"/>
    </xf>
    <xf numFmtId="0" fontId="27" fillId="0" borderId="0" xfId="0" applyFont="1" applyAlignment="1" applyProtection="1">
      <alignment vertical="center"/>
    </xf>
    <xf numFmtId="0" fontId="12" fillId="0" borderId="0" xfId="0" applyFont="1" applyFill="1" applyAlignment="1" applyProtection="1">
      <alignment vertical="center"/>
    </xf>
    <xf numFmtId="0" fontId="6" fillId="0" borderId="0" xfId="0" applyFont="1" applyBorder="1" applyAlignment="1" applyProtection="1">
      <alignment vertical="center"/>
    </xf>
    <xf numFmtId="0" fontId="0" fillId="0" borderId="0" xfId="0" applyBorder="1" applyAlignment="1" applyProtection="1">
      <alignment vertical="center"/>
    </xf>
    <xf numFmtId="0" fontId="0" fillId="0" borderId="0" xfId="0" quotePrefix="1" applyFill="1" applyAlignment="1" applyProtection="1">
      <alignment vertical="center" wrapText="1"/>
    </xf>
    <xf numFmtId="0" fontId="6" fillId="0" borderId="0" xfId="0" applyFont="1" applyBorder="1" applyAlignment="1" applyProtection="1">
      <alignment vertical="center" wrapText="1"/>
    </xf>
    <xf numFmtId="0" fontId="0" fillId="0" borderId="0" xfId="0" applyBorder="1" applyAlignment="1" applyProtection="1">
      <alignment horizontal="right" vertical="center" wrapText="1"/>
    </xf>
    <xf numFmtId="179" fontId="8" fillId="0" borderId="0" xfId="0" applyNumberFormat="1" applyFont="1" applyBorder="1" applyAlignment="1" applyProtection="1">
      <alignment horizontal="right" vertical="center"/>
    </xf>
    <xf numFmtId="0" fontId="18" fillId="0" borderId="0" xfId="0" applyFont="1" applyBorder="1" applyAlignment="1" applyProtection="1">
      <alignment vertical="center"/>
    </xf>
    <xf numFmtId="0" fontId="0" fillId="0" borderId="0" xfId="0" applyBorder="1" applyAlignment="1" applyProtection="1">
      <alignment horizontal="right" vertical="center"/>
    </xf>
    <xf numFmtId="0" fontId="0" fillId="0" borderId="0" xfId="0" applyBorder="1" applyAlignment="1" applyProtection="1">
      <alignment vertical="center" wrapText="1"/>
    </xf>
    <xf numFmtId="0" fontId="27" fillId="0" borderId="0" xfId="0" applyFont="1" applyBorder="1" applyAlignment="1" applyProtection="1">
      <alignment vertical="center" wrapText="1"/>
    </xf>
    <xf numFmtId="0" fontId="0" fillId="0" borderId="0" xfId="0" applyAlignment="1" applyProtection="1">
      <alignment horizontal="right" vertical="center"/>
    </xf>
    <xf numFmtId="181" fontId="8" fillId="0" borderId="0" xfId="0" applyNumberFormat="1" applyFont="1" applyAlignment="1" applyProtection="1">
      <alignment vertical="center"/>
    </xf>
    <xf numFmtId="0" fontId="0" fillId="0" borderId="0" xfId="0" quotePrefix="1" applyFill="1" applyAlignment="1" applyProtection="1">
      <alignment vertical="center"/>
    </xf>
    <xf numFmtId="0" fontId="1" fillId="0" borderId="0" xfId="0" applyFont="1" applyBorder="1" applyAlignment="1" applyProtection="1">
      <alignment vertical="center"/>
    </xf>
    <xf numFmtId="0" fontId="0" fillId="0" borderId="0" xfId="0" applyAlignment="1" applyProtection="1">
      <alignment vertical="center" wrapText="1"/>
    </xf>
    <xf numFmtId="0" fontId="3" fillId="0" borderId="0" xfId="0" applyFont="1" applyAlignment="1" applyProtection="1">
      <alignment vertical="center"/>
    </xf>
    <xf numFmtId="0" fontId="3" fillId="0" borderId="0" xfId="0" applyFont="1" applyFill="1" applyAlignment="1" applyProtection="1">
      <alignment vertical="center" wrapText="1"/>
    </xf>
    <xf numFmtId="0" fontId="6" fillId="0" borderId="0" xfId="0" applyFont="1" applyAlignment="1" applyProtection="1">
      <alignment vertical="center" wrapText="1"/>
    </xf>
    <xf numFmtId="0" fontId="0" fillId="0" borderId="0" xfId="0" applyAlignment="1" applyProtection="1">
      <alignment horizontal="right" vertical="center" wrapText="1"/>
    </xf>
    <xf numFmtId="0" fontId="8" fillId="0" borderId="0" xfId="0" applyFont="1" applyAlignment="1" applyProtection="1">
      <alignment vertical="center" wrapText="1"/>
    </xf>
    <xf numFmtId="0" fontId="0" fillId="2" borderId="0" xfId="0" applyFill="1" applyAlignment="1" applyProtection="1">
      <alignment vertical="center"/>
    </xf>
    <xf numFmtId="0" fontId="3" fillId="3" borderId="0" xfId="0" applyFont="1" applyFill="1" applyBorder="1" applyAlignment="1" applyProtection="1">
      <alignment vertical="center"/>
    </xf>
    <xf numFmtId="0" fontId="7" fillId="3" borderId="0" xfId="0" applyFont="1" applyFill="1" applyBorder="1" applyAlignment="1" applyProtection="1">
      <alignment vertical="center"/>
    </xf>
    <xf numFmtId="0" fontId="0" fillId="3" borderId="0" xfId="0" applyFill="1" applyBorder="1" applyAlignment="1" applyProtection="1">
      <alignment vertical="center"/>
    </xf>
    <xf numFmtId="0" fontId="18" fillId="3" borderId="0" xfId="0" applyFont="1" applyFill="1" applyBorder="1" applyAlignment="1" applyProtection="1">
      <alignment vertical="center"/>
    </xf>
    <xf numFmtId="0" fontId="0" fillId="3" borderId="0" xfId="0" applyFill="1" applyBorder="1" applyAlignment="1" applyProtection="1">
      <alignment vertical="center" wrapText="1"/>
    </xf>
    <xf numFmtId="0" fontId="6" fillId="3" borderId="0" xfId="0" applyFont="1" applyFill="1" applyBorder="1" applyAlignment="1" applyProtection="1">
      <alignment vertical="center" wrapText="1"/>
    </xf>
    <xf numFmtId="0" fontId="0" fillId="0" borderId="0" xfId="0" applyFill="1" applyAlignment="1" applyProtection="1">
      <alignment vertical="center" wrapText="1"/>
    </xf>
    <xf numFmtId="0" fontId="18" fillId="0" borderId="0" xfId="0" applyFont="1" applyAlignment="1" applyProtection="1">
      <alignment vertical="center"/>
    </xf>
    <xf numFmtId="0" fontId="0" fillId="0" borderId="0" xfId="0" applyFill="1" applyBorder="1" applyAlignment="1" applyProtection="1">
      <alignment vertical="center" wrapText="1"/>
    </xf>
    <xf numFmtId="11" fontId="8" fillId="0" borderId="0" xfId="0" applyNumberFormat="1" applyFont="1" applyAlignment="1" applyProtection="1">
      <alignment vertical="center" wrapText="1"/>
    </xf>
    <xf numFmtId="0" fontId="10" fillId="0" borderId="0" xfId="0" applyFont="1" applyAlignment="1" applyProtection="1">
      <alignment vertical="center"/>
    </xf>
    <xf numFmtId="0" fontId="3" fillId="2" borderId="0" xfId="0" applyFont="1" applyFill="1" applyAlignment="1" applyProtection="1">
      <alignment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2" fontId="8" fillId="0" borderId="0" xfId="0" applyNumberFormat="1" applyFont="1" applyAlignment="1" applyProtection="1">
      <alignment vertical="center"/>
    </xf>
    <xf numFmtId="179" fontId="19" fillId="0" borderId="0" xfId="0" applyNumberFormat="1" applyFont="1" applyAlignment="1" applyProtection="1">
      <alignment vertical="center"/>
    </xf>
    <xf numFmtId="182" fontId="8" fillId="0" borderId="0" xfId="0" applyNumberFormat="1" applyFont="1" applyAlignment="1" applyProtection="1">
      <alignment vertical="center"/>
    </xf>
    <xf numFmtId="176" fontId="8" fillId="0" borderId="0" xfId="0" applyNumberFormat="1" applyFont="1" applyAlignment="1" applyProtection="1">
      <alignment vertical="center"/>
    </xf>
    <xf numFmtId="0" fontId="0" fillId="2" borderId="0" xfId="0" quotePrefix="1" applyFill="1" applyAlignment="1" applyProtection="1">
      <alignment vertical="center"/>
    </xf>
    <xf numFmtId="183" fontId="8" fillId="0" borderId="0" xfId="0" applyNumberFormat="1" applyFont="1" applyAlignment="1" applyProtection="1">
      <alignment vertical="center"/>
    </xf>
    <xf numFmtId="176" fontId="0" fillId="2" borderId="0" xfId="0" applyNumberFormat="1" applyFill="1" applyAlignment="1" applyProtection="1">
      <alignment vertical="center"/>
    </xf>
    <xf numFmtId="176" fontId="6" fillId="0" borderId="0" xfId="0" applyNumberFormat="1" applyFont="1" applyAlignment="1" applyProtection="1">
      <alignment vertical="center"/>
    </xf>
    <xf numFmtId="0" fontId="0" fillId="0" borderId="0" xfId="0" applyAlignment="1" applyProtection="1">
      <alignment horizontal="left" vertical="center"/>
    </xf>
    <xf numFmtId="48" fontId="0" fillId="0" borderId="0" xfId="0" applyNumberFormat="1" applyAlignment="1" applyProtection="1">
      <alignment vertical="center"/>
    </xf>
    <xf numFmtId="0" fontId="1" fillId="3" borderId="0" xfId="0" applyFont="1" applyFill="1" applyBorder="1" applyAlignment="1" applyProtection="1">
      <alignment vertical="center"/>
    </xf>
    <xf numFmtId="48" fontId="1" fillId="3" borderId="0" xfId="0" applyNumberFormat="1" applyFont="1" applyFill="1" applyBorder="1" applyAlignment="1" applyProtection="1">
      <alignment vertical="center"/>
    </xf>
    <xf numFmtId="11" fontId="1" fillId="3" borderId="0" xfId="0" applyNumberFormat="1" applyFont="1" applyFill="1" applyBorder="1" applyAlignment="1" applyProtection="1">
      <alignment vertical="center"/>
    </xf>
    <xf numFmtId="0" fontId="0" fillId="0" borderId="0" xfId="0" applyAlignment="1" applyProtection="1">
      <alignment horizontal="center" vertical="center" wrapText="1"/>
    </xf>
    <xf numFmtId="179" fontId="0" fillId="0" borderId="0" xfId="0" applyNumberFormat="1" applyAlignment="1" applyProtection="1">
      <alignment vertical="center"/>
    </xf>
    <xf numFmtId="0" fontId="3" fillId="0" borderId="0" xfId="0" applyFont="1" applyAlignment="1" applyProtection="1">
      <alignment vertical="center" wrapText="1"/>
    </xf>
    <xf numFmtId="0" fontId="0" fillId="0" borderId="0" xfId="0" applyFill="1" applyAlignment="1" applyProtection="1">
      <alignment horizontal="left" vertical="center" wrapText="1"/>
    </xf>
    <xf numFmtId="179" fontId="8" fillId="0" borderId="0" xfId="0" applyNumberFormat="1" applyFont="1" applyAlignment="1" applyProtection="1">
      <alignment vertical="center" wrapText="1"/>
    </xf>
    <xf numFmtId="177" fontId="8" fillId="0" borderId="0" xfId="0" applyNumberFormat="1" applyFont="1" applyAlignment="1" applyProtection="1">
      <alignment vertical="center" wrapText="1"/>
    </xf>
    <xf numFmtId="179" fontId="8" fillId="0" borderId="0" xfId="0" applyNumberFormat="1" applyFont="1" applyFill="1" applyAlignment="1" applyProtection="1">
      <alignment vertical="center" wrapText="1"/>
    </xf>
    <xf numFmtId="1" fontId="0" fillId="0" borderId="0" xfId="0" applyNumberFormat="1" applyAlignment="1" applyProtection="1">
      <alignment vertical="center"/>
    </xf>
    <xf numFmtId="0" fontId="3" fillId="0" borderId="0" xfId="0" applyFont="1" applyAlignment="1" applyProtection="1">
      <alignment horizontal="center" vertical="center" wrapText="1"/>
    </xf>
    <xf numFmtId="0" fontId="19" fillId="0" borderId="0" xfId="0" applyFont="1" applyAlignment="1" applyProtection="1">
      <alignment vertical="center"/>
    </xf>
    <xf numFmtId="0" fontId="1" fillId="0" borderId="0" xfId="0" applyFont="1" applyAlignment="1" applyProtection="1">
      <alignment vertical="center"/>
    </xf>
    <xf numFmtId="0" fontId="9" fillId="0" borderId="0" xfId="0" applyFont="1" applyAlignment="1" applyProtection="1">
      <alignment vertical="center"/>
    </xf>
    <xf numFmtId="178" fontId="19" fillId="0" borderId="0" xfId="0" applyNumberFormat="1" applyFont="1" applyAlignment="1" applyProtection="1">
      <alignment vertical="center"/>
    </xf>
    <xf numFmtId="180" fontId="0" fillId="0" borderId="0" xfId="0" applyNumberFormat="1" applyAlignment="1" applyProtection="1">
      <alignment horizontal="center" vertical="center"/>
    </xf>
    <xf numFmtId="11" fontId="8" fillId="0" borderId="0" xfId="0" applyNumberFormat="1" applyFont="1" applyAlignment="1" applyProtection="1">
      <alignment horizontal="center" vertical="center"/>
    </xf>
    <xf numFmtId="179" fontId="8" fillId="0" borderId="0" xfId="0" applyNumberFormat="1" applyFont="1" applyAlignment="1" applyProtection="1">
      <alignment horizontal="center" vertical="center"/>
    </xf>
    <xf numFmtId="180" fontId="8" fillId="0" borderId="0" xfId="0" applyNumberFormat="1" applyFont="1" applyAlignment="1" applyProtection="1">
      <alignment vertical="center"/>
    </xf>
    <xf numFmtId="180" fontId="1" fillId="0" borderId="0" xfId="0" applyNumberFormat="1" applyFont="1" applyAlignment="1" applyProtection="1">
      <alignment vertical="center"/>
    </xf>
    <xf numFmtId="180" fontId="0" fillId="0" borderId="0" xfId="0" applyNumberFormat="1" applyAlignment="1" applyProtection="1">
      <alignment vertical="center"/>
    </xf>
    <xf numFmtId="0" fontId="22" fillId="0" borderId="0" xfId="0" applyFont="1" applyAlignment="1" applyProtection="1">
      <alignment horizontal="center" vertical="center"/>
    </xf>
    <xf numFmtId="176" fontId="22" fillId="0" borderId="0" xfId="0" applyNumberFormat="1" applyFont="1" applyAlignment="1" applyProtection="1">
      <alignment horizontal="center" vertical="center"/>
    </xf>
    <xf numFmtId="11" fontId="22" fillId="0" borderId="0" xfId="0" applyNumberFormat="1" applyFont="1" applyAlignment="1" applyProtection="1">
      <alignment horizontal="center" vertical="center"/>
    </xf>
    <xf numFmtId="180" fontId="11" fillId="0" borderId="0" xfId="0" applyNumberFormat="1" applyFont="1" applyAlignment="1" applyProtection="1">
      <alignment horizontal="center" vertical="center"/>
    </xf>
    <xf numFmtId="180" fontId="0" fillId="0" borderId="0" xfId="0" applyNumberFormat="1" applyAlignment="1" applyProtection="1">
      <alignment horizontal="center" vertical="center" wrapText="1"/>
    </xf>
    <xf numFmtId="180" fontId="11" fillId="0" borderId="0" xfId="0" applyNumberFormat="1" applyFont="1" applyAlignment="1" applyProtection="1">
      <alignment horizontal="center" vertical="center" wrapText="1"/>
    </xf>
    <xf numFmtId="0" fontId="8" fillId="0" borderId="0" xfId="0" applyFont="1" applyAlignment="1" applyProtection="1">
      <alignment horizontal="center" vertical="center"/>
    </xf>
    <xf numFmtId="180" fontId="7" fillId="0" borderId="0" xfId="0" applyNumberFormat="1" applyFont="1" applyAlignment="1" applyProtection="1">
      <alignment vertical="center"/>
    </xf>
    <xf numFmtId="0" fontId="39" fillId="0" borderId="0" xfId="0" applyFont="1" applyAlignment="1" applyProtection="1">
      <alignment vertical="center"/>
    </xf>
    <xf numFmtId="0" fontId="39" fillId="0" borderId="0" xfId="0" applyFont="1" applyAlignment="1" applyProtection="1">
      <alignment vertical="center" wrapText="1"/>
    </xf>
    <xf numFmtId="1" fontId="39" fillId="0" borderId="0" xfId="0" applyNumberFormat="1" applyFont="1" applyAlignment="1" applyProtection="1">
      <alignment vertical="center"/>
    </xf>
    <xf numFmtId="0" fontId="40" fillId="0" borderId="0" xfId="0" applyNumberFormat="1" applyFont="1" applyAlignment="1" applyProtection="1">
      <alignment horizontal="center" vertical="center"/>
    </xf>
    <xf numFmtId="0" fontId="40" fillId="0" borderId="0" xfId="0" applyNumberFormat="1" applyFont="1" applyAlignment="1" applyProtection="1">
      <alignment horizontal="center" vertical="center" wrapText="1"/>
    </xf>
    <xf numFmtId="0" fontId="39" fillId="0" borderId="0" xfId="0" applyNumberFormat="1" applyFont="1" applyAlignment="1" applyProtection="1">
      <alignment vertical="center"/>
    </xf>
    <xf numFmtId="176" fontId="39" fillId="0" borderId="0" xfId="0" applyNumberFormat="1" applyFont="1" applyAlignment="1" applyProtection="1">
      <alignment vertical="center"/>
    </xf>
    <xf numFmtId="0" fontId="39" fillId="0" borderId="0" xfId="0" applyNumberFormat="1" applyFont="1" applyAlignment="1" applyProtection="1">
      <alignment horizontal="center" vertical="center" wrapText="1"/>
    </xf>
    <xf numFmtId="176" fontId="39" fillId="0" borderId="0" xfId="0" applyNumberFormat="1" applyFont="1" applyAlignment="1" applyProtection="1">
      <alignment horizontal="center" vertical="center" wrapText="1"/>
    </xf>
    <xf numFmtId="180" fontId="39" fillId="0" borderId="0" xfId="0" applyNumberFormat="1" applyFont="1" applyAlignment="1" applyProtection="1">
      <alignment horizontal="center" vertical="center"/>
    </xf>
    <xf numFmtId="0" fontId="39" fillId="0" borderId="0" xfId="0" applyFont="1" applyAlignment="1" applyProtection="1">
      <alignment horizontal="center" vertical="center"/>
    </xf>
    <xf numFmtId="180" fontId="39" fillId="0" borderId="0" xfId="0" applyNumberFormat="1" applyFont="1" applyAlignment="1" applyProtection="1">
      <alignment vertical="center"/>
    </xf>
    <xf numFmtId="179" fontId="7" fillId="0" borderId="0" xfId="0" applyNumberFormat="1" applyFont="1" applyFill="1" applyAlignment="1" applyProtection="1">
      <alignment vertical="center"/>
      <protection locked="0"/>
    </xf>
    <xf numFmtId="179" fontId="7" fillId="0" borderId="0" xfId="0" applyNumberFormat="1" applyFont="1" applyFill="1" applyAlignment="1" applyProtection="1">
      <alignment vertical="center" wrapText="1"/>
      <protection locked="0"/>
    </xf>
    <xf numFmtId="48" fontId="41" fillId="0" borderId="0" xfId="0" applyNumberFormat="1" applyFont="1" applyBorder="1" applyAlignment="1" applyProtection="1">
      <alignment vertical="center"/>
    </xf>
    <xf numFmtId="0" fontId="3" fillId="0" borderId="0" xfId="0" applyFont="1" applyAlignment="1" applyProtection="1">
      <alignment horizontal="center" vertical="center"/>
    </xf>
    <xf numFmtId="0" fontId="0" fillId="2" borderId="0" xfId="0" quotePrefix="1" applyFill="1" applyAlignment="1" applyProtection="1">
      <alignment horizontal="left" vertical="center"/>
    </xf>
    <xf numFmtId="0" fontId="0" fillId="2" borderId="0" xfId="0" applyFill="1" applyAlignment="1" applyProtection="1">
      <alignment horizontal="center" vertical="center"/>
    </xf>
    <xf numFmtId="0" fontId="0" fillId="2" borderId="0" xfId="0" quotePrefix="1" applyFill="1" applyAlignment="1" applyProtection="1">
      <alignment horizontal="left" vertical="center" wrapText="1"/>
    </xf>
    <xf numFmtId="0" fontId="12" fillId="0" borderId="0" xfId="0" applyFont="1" applyFill="1" applyAlignment="1" applyProtection="1">
      <alignment horizontal="center" vertical="center"/>
    </xf>
    <xf numFmtId="0" fontId="0" fillId="2" borderId="0" xfId="0" quotePrefix="1" applyFill="1" applyAlignment="1" applyProtection="1">
      <alignment horizontal="center" vertical="center"/>
    </xf>
    <xf numFmtId="0" fontId="3" fillId="2" borderId="0" xfId="0" quotePrefix="1" applyFont="1" applyFill="1" applyAlignment="1" applyProtection="1">
      <alignment horizontal="left" vertical="center" wrapText="1"/>
    </xf>
    <xf numFmtId="0" fontId="6" fillId="2" borderId="0" xfId="0" quotePrefix="1" applyFont="1" applyFill="1" applyAlignment="1" applyProtection="1">
      <alignment horizontal="left" vertical="center"/>
    </xf>
    <xf numFmtId="0" fontId="37" fillId="2" borderId="0" xfId="0" applyFont="1" applyFill="1" applyAlignment="1" applyProtection="1">
      <alignment horizontal="center" vertical="center" wrapText="1"/>
    </xf>
    <xf numFmtId="0" fontId="0" fillId="0" borderId="0" xfId="0" applyAlignment="1" applyProtection="1">
      <alignment horizontal="center" vertical="center" wrapText="1"/>
    </xf>
    <xf numFmtId="0" fontId="6" fillId="2" borderId="0" xfId="0" applyFont="1" applyFill="1" applyAlignment="1" applyProtection="1">
      <alignment horizontal="left" vertical="center" wrapText="1"/>
    </xf>
    <xf numFmtId="0" fontId="28" fillId="0" borderId="0" xfId="0" applyFont="1" applyAlignment="1" applyProtection="1">
      <alignment horizontal="center" vertical="center"/>
    </xf>
    <xf numFmtId="0" fontId="12" fillId="2" borderId="0" xfId="0" applyFont="1" applyFill="1" applyAlignment="1" applyProtection="1">
      <alignment horizontal="center" vertical="center"/>
    </xf>
    <xf numFmtId="0" fontId="3"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3" fillId="2" borderId="0" xfId="0" quotePrefix="1" applyFont="1" applyFill="1" applyAlignment="1" applyProtection="1">
      <alignment horizontal="left" vertical="center"/>
    </xf>
    <xf numFmtId="0" fontId="12" fillId="0" borderId="0" xfId="0" applyFont="1" applyAlignment="1" applyProtection="1">
      <alignment horizontal="center" vertical="center"/>
    </xf>
    <xf numFmtId="0" fontId="6" fillId="2" borderId="0" xfId="0" applyFont="1" applyFill="1" applyAlignment="1" applyProtection="1">
      <alignment horizontal="center" vertical="center" wrapText="1"/>
    </xf>
    <xf numFmtId="0" fontId="10" fillId="0" borderId="0" xfId="0" applyFont="1" applyAlignment="1" applyProtection="1">
      <alignment horizontal="center" vertical="center"/>
    </xf>
    <xf numFmtId="0" fontId="32" fillId="0" borderId="0" xfId="0" applyFont="1" applyAlignment="1" applyProtection="1">
      <alignment horizontal="center" vertical="center"/>
    </xf>
    <xf numFmtId="0" fontId="12"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3" fillId="2" borderId="0" xfId="0" applyFont="1" applyFill="1" applyAlignment="1" applyProtection="1">
      <alignment horizontal="center" vertical="center" wrapText="1"/>
    </xf>
    <xf numFmtId="0" fontId="3" fillId="0" borderId="0" xfId="0" applyFont="1" applyAlignment="1" applyProtection="1">
      <alignment horizontal="center" vertical="center" wrapText="1"/>
    </xf>
    <xf numFmtId="0" fontId="38"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32" fillId="0" borderId="0" xfId="0" applyFont="1" applyAlignment="1">
      <alignment horizontal="center"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1" i="0" u="none" strike="noStrike" baseline="0">
                <a:solidFill>
                  <a:srgbClr val="000000"/>
                </a:solidFill>
                <a:latin typeface="Arial"/>
                <a:ea typeface="Arial"/>
                <a:cs typeface="Arial"/>
              </a:defRPr>
            </a:pPr>
            <a:r>
              <a:rPr lang="en-US"/>
              <a:t>Primary Current  vs  Switching Frequency</a:t>
            </a:r>
          </a:p>
        </c:rich>
      </c:tx>
      <c:layout>
        <c:manualLayout>
          <c:xMode val="edge"/>
          <c:yMode val="edge"/>
          <c:x val="0.28663496773048297"/>
          <c:y val="1.0548523206751054E-2"/>
        </c:manualLayout>
      </c:layout>
      <c:spPr>
        <a:noFill/>
        <a:ln w="25400">
          <a:noFill/>
        </a:ln>
      </c:spPr>
    </c:title>
    <c:plotArea>
      <c:layout>
        <c:manualLayout>
          <c:layoutTarget val="inner"/>
          <c:xMode val="edge"/>
          <c:yMode val="edge"/>
          <c:x val="9.8228817917198064E-2"/>
          <c:y val="0.12447283028586149"/>
          <c:w val="0.86473565936943286"/>
          <c:h val="0.67510687612670683"/>
        </c:manualLayout>
      </c:layout>
      <c:scatterChart>
        <c:scatterStyle val="smoothMarker"/>
        <c:ser>
          <c:idx val="1"/>
          <c:order val="0"/>
          <c:tx>
            <c:v>Rated Power</c:v>
          </c:tx>
          <c:spPr>
            <a:ln w="12700">
              <a:solidFill>
                <a:srgbClr val="000080"/>
              </a:solidFill>
              <a:prstDash val="solid"/>
            </a:ln>
          </c:spPr>
          <c:marker>
            <c:symbol val="diamond"/>
            <c:size val="5"/>
            <c:spPr>
              <a:solidFill>
                <a:srgbClr val="000080"/>
              </a:solidFill>
              <a:ln>
                <a:solidFill>
                  <a:srgbClr val="000080"/>
                </a:solidFill>
                <a:prstDash val="solid"/>
              </a:ln>
            </c:spPr>
          </c:marker>
          <c:xVal>
            <c:numRef>
              <c:f>'QR Simulator'!$N$54:$N$74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'QR Simulator'!$E$91:$E$111</c:f>
              <c:numCache>
                <c:formatCode>0.000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1"/>
        </c:ser>
        <c:ser>
          <c:idx val="0"/>
          <c:order val="1"/>
          <c:tx>
            <c:v>Input Low Line</c:v>
          </c:tx>
          <c:spPr>
            <a:ln w="12700">
              <a:solidFill>
                <a:srgbClr val="FF00FF"/>
              </a:solidFill>
              <a:prstDash val="solid"/>
            </a:ln>
          </c:spPr>
          <c:marker>
            <c:symbol val="square"/>
            <c:size val="5"/>
            <c:spPr>
              <a:solidFill>
                <a:srgbClr val="FF00FF"/>
              </a:solidFill>
              <a:ln>
                <a:solidFill>
                  <a:srgbClr val="FF00FF"/>
                </a:solidFill>
                <a:prstDash val="solid"/>
              </a:ln>
            </c:spPr>
          </c:marker>
          <c:xVal>
            <c:numRef>
              <c:f>'QR Simulator'!$O$54:$O$74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'QR Simulator'!$F$137:$F$157</c:f>
              <c:numCache>
                <c:formatCode>0.000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1"/>
        </c:ser>
        <c:ser>
          <c:idx val="2"/>
          <c:order val="2"/>
          <c:tx>
            <c:v>Input High Line</c:v>
          </c:tx>
          <c:spPr>
            <a:ln w="12700">
              <a:solidFill>
                <a:srgbClr val="FF0000"/>
              </a:solidFill>
              <a:prstDash val="solid"/>
            </a:ln>
          </c:spPr>
          <c:marker>
            <c:symbol val="triangle"/>
            <c:size val="5"/>
            <c:spPr>
              <a:solidFill>
                <a:srgbClr val="FF0000"/>
              </a:solidFill>
              <a:ln>
                <a:solidFill>
                  <a:srgbClr val="FF0000"/>
                </a:solidFill>
                <a:prstDash val="solid"/>
              </a:ln>
            </c:spPr>
          </c:marker>
          <c:xVal>
            <c:numRef>
              <c:f>'QR Simulator'!$P$54:$P$74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'QR Simulator'!$F$180:$F$200</c:f>
              <c:numCache>
                <c:formatCode>0.000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1"/>
        </c:ser>
        <c:ser>
          <c:idx val="3"/>
          <c:order val="3"/>
          <c:tx>
            <c:v>Power Limit</c:v>
          </c:tx>
          <c:spPr>
            <a:ln w="12700">
              <a:solidFill>
                <a:srgbClr val="00FFFF"/>
              </a:solidFill>
              <a:prstDash val="solid"/>
            </a:ln>
          </c:spPr>
          <c:marker>
            <c:symbol val="x"/>
            <c:size val="5"/>
            <c:spPr>
              <a:noFill/>
              <a:ln>
                <a:solidFill>
                  <a:srgbClr val="00FFFF"/>
                </a:solidFill>
                <a:prstDash val="solid"/>
              </a:ln>
            </c:spPr>
          </c:marker>
          <c:xVal>
            <c:numRef>
              <c:f>'QR Simulator'!$Q$54:$Q$74</c:f>
              <c:numCache>
                <c:formatCode>0</c:formatCode>
                <c:ptCount val="21"/>
                <c:pt idx="0">
                  <c:v>54.968589495316877</c:v>
                </c:pt>
                <c:pt idx="1">
                  <c:v>55.642544065931553</c:v>
                </c:pt>
                <c:pt idx="2">
                  <c:v>56.303327260838365</c:v>
                </c:pt>
                <c:pt idx="3">
                  <c:v>56.951843093895071</c:v>
                </c:pt>
                <c:pt idx="4">
                  <c:v>57.588929631764138</c:v>
                </c:pt>
                <c:pt idx="5">
                  <c:v>58.215365148984979</c:v>
                </c:pt>
                <c:pt idx="6">
                  <c:v>58.831873608943994</c:v>
                </c:pt>
                <c:pt idx="7">
                  <c:v>59.43912955604894</c:v>
                </c:pt>
                <c:pt idx="8">
                  <c:v>60.037762492158606</c:v>
                </c:pt>
                <c:pt idx="9">
                  <c:v>60.628360800046046</c:v>
                </c:pt>
                <c:pt idx="10">
                  <c:v>61.211475268026199</c:v>
                </c:pt>
                <c:pt idx="11">
                  <c:v>61.787622262563517</c:v>
                </c:pt>
                <c:pt idx="12">
                  <c:v>62.357286589467797</c:v>
                </c:pt>
                <c:pt idx="13">
                  <c:v>62.920924078997899</c:v>
                </c:pt>
                <c:pt idx="14">
                  <c:v>63.478963925672339</c:v>
                </c:pt>
                <c:pt idx="15">
                  <c:v>64.031810809711047</c:v>
                </c:pt>
                <c:pt idx="16">
                  <c:v>64.579846823700663</c:v>
                </c:pt>
                <c:pt idx="17">
                  <c:v>65.123433225203115</c:v>
                </c:pt>
                <c:pt idx="18">
                  <c:v>65.662912033543378</c:v>
                </c:pt>
                <c:pt idx="19">
                  <c:v>66.198607486861192</c:v>
                </c:pt>
                <c:pt idx="20">
                  <c:v>66.730827373641389</c:v>
                </c:pt>
              </c:numCache>
            </c:numRef>
          </c:xVal>
          <c:yVal>
            <c:numRef>
              <c:f>'QR Simulator'!$L$206:$L$226</c:f>
              <c:numCache>
                <c:formatCode>;;;</c:formatCode>
                <c:ptCount val="21"/>
                <c:pt idx="0">
                  <c:v>6.5383904807731605</c:v>
                </c:pt>
                <c:pt idx="1">
                  <c:v>6.5132347276337477</c:v>
                </c:pt>
                <c:pt idx="2">
                  <c:v>6.4880789744943357</c:v>
                </c:pt>
                <c:pt idx="3">
                  <c:v>6.4629232213549228</c:v>
                </c:pt>
                <c:pt idx="4">
                  <c:v>6.4377674682155117</c:v>
                </c:pt>
                <c:pt idx="5">
                  <c:v>6.4126117150760997</c:v>
                </c:pt>
                <c:pt idx="6">
                  <c:v>6.3874559619366869</c:v>
                </c:pt>
                <c:pt idx="7">
                  <c:v>6.3623002087972749</c:v>
                </c:pt>
                <c:pt idx="8">
                  <c:v>6.337144455657862</c:v>
                </c:pt>
                <c:pt idx="9">
                  <c:v>6.31198870251845</c:v>
                </c:pt>
                <c:pt idx="10">
                  <c:v>6.2868329493790371</c:v>
                </c:pt>
                <c:pt idx="11">
                  <c:v>6.2616771962396252</c:v>
                </c:pt>
                <c:pt idx="12">
                  <c:v>6.2365214431002123</c:v>
                </c:pt>
                <c:pt idx="13">
                  <c:v>6.2113656899608003</c:v>
                </c:pt>
                <c:pt idx="14">
                  <c:v>6.1862099368213874</c:v>
                </c:pt>
                <c:pt idx="15">
                  <c:v>6.1610541836819745</c:v>
                </c:pt>
                <c:pt idx="16">
                  <c:v>6.1358984305425626</c:v>
                </c:pt>
                <c:pt idx="17">
                  <c:v>6.1107426774031497</c:v>
                </c:pt>
                <c:pt idx="18">
                  <c:v>6.0855869242637377</c:v>
                </c:pt>
                <c:pt idx="19">
                  <c:v>6.0604311711243248</c:v>
                </c:pt>
                <c:pt idx="20">
                  <c:v>6.0352754179849128</c:v>
                </c:pt>
              </c:numCache>
            </c:numRef>
          </c:yVal>
          <c:smooth val="1"/>
        </c:ser>
        <c:axId val="44734720"/>
        <c:axId val="44745472"/>
      </c:scatterChart>
      <c:valAx>
        <c:axId val="44734720"/>
        <c:scaling>
          <c:orientation val="minMax"/>
          <c:max val="140"/>
          <c:min val="0"/>
        </c:scaling>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000" b="1" i="0" u="none" strike="noStrike" baseline="0">
                    <a:solidFill>
                      <a:srgbClr val="000000"/>
                    </a:solidFill>
                    <a:latin typeface="Arial"/>
                    <a:cs typeface="Arial"/>
                  </a:rPr>
                  <a:t>f</a:t>
                </a:r>
                <a:r>
                  <a:rPr lang="en-US" altLang="ja-JP" sz="1000" b="1" i="0" u="none" strike="noStrike" baseline="-25000">
                    <a:solidFill>
                      <a:srgbClr val="000000"/>
                    </a:solidFill>
                    <a:latin typeface="Arial"/>
                    <a:cs typeface="Arial"/>
                  </a:rPr>
                  <a:t>S</a:t>
                </a:r>
                <a:r>
                  <a:rPr lang="en-US" altLang="ja-JP" sz="1000" b="1" i="0" u="none" strike="noStrike" baseline="0">
                    <a:solidFill>
                      <a:srgbClr val="000000"/>
                    </a:solidFill>
                    <a:latin typeface="Arial"/>
                    <a:cs typeface="Arial"/>
                  </a:rPr>
                  <a:t> - Switching Frequency - kHz</a:t>
                </a:r>
              </a:p>
            </c:rich>
          </c:tx>
          <c:layout>
            <c:manualLayout>
              <c:xMode val="edge"/>
              <c:yMode val="edge"/>
              <c:x val="0.39452563598632295"/>
              <c:y val="0.87341949344939473"/>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ja-JP"/>
          </a:p>
        </c:txPr>
        <c:crossAx val="44745472"/>
        <c:crosses val="autoZero"/>
        <c:crossBetween val="midCat"/>
        <c:majorUnit val="20"/>
        <c:minorUnit val="4"/>
      </c:valAx>
      <c:valAx>
        <c:axId val="44745472"/>
        <c:scaling>
          <c:orientation val="minMax"/>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000" b="1" i="0" u="none" strike="noStrike" baseline="0">
                    <a:solidFill>
                      <a:srgbClr val="000000"/>
                    </a:solidFill>
                    <a:latin typeface="Arial"/>
                    <a:cs typeface="Arial"/>
                  </a:rPr>
                  <a:t>I</a:t>
                </a:r>
                <a:r>
                  <a:rPr lang="en-US" altLang="ja-JP" sz="1000" b="1" i="0" u="none" strike="noStrike" baseline="-25000">
                    <a:solidFill>
                      <a:srgbClr val="000000"/>
                    </a:solidFill>
                    <a:latin typeface="Arial"/>
                    <a:cs typeface="Arial"/>
                  </a:rPr>
                  <a:t>P</a:t>
                </a:r>
                <a:r>
                  <a:rPr lang="en-US" altLang="ja-JP" sz="1000" b="1" i="0" u="none" strike="noStrike" baseline="0">
                    <a:solidFill>
                      <a:srgbClr val="000000"/>
                    </a:solidFill>
                    <a:latin typeface="Arial"/>
                    <a:cs typeface="Arial"/>
                  </a:rPr>
                  <a:t> - Primary Current - A</a:t>
                </a:r>
              </a:p>
            </c:rich>
          </c:tx>
          <c:layout>
            <c:manualLayout>
              <c:xMode val="edge"/>
              <c:yMode val="edge"/>
              <c:x val="1.7713365539452495E-2"/>
              <c:y val="0.30590783746968336"/>
            </c:manualLayout>
          </c:layout>
          <c:spPr>
            <a:noFill/>
            <a:ln w="25400">
              <a:noFill/>
            </a:ln>
          </c:spPr>
        </c:title>
        <c:numFmt formatCode="0.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ja-JP"/>
          </a:p>
        </c:txPr>
        <c:crossAx val="44734720"/>
        <c:crossesAt val="0"/>
        <c:crossBetween val="midCat"/>
      </c:valAx>
      <c:spPr>
        <a:blipFill dpi="0" rotWithShape="0">
          <a:blip xmlns:r="http://schemas.openxmlformats.org/officeDocument/2006/relationships" r:embed="rId1"/>
          <a:srcRect/>
          <a:stretch>
            <a:fillRect/>
          </a:stretch>
        </a:blipFill>
        <a:ln w="12700">
          <a:solidFill>
            <a:srgbClr val="808080"/>
          </a:solidFill>
          <a:prstDash val="solid"/>
        </a:ln>
      </c:spPr>
    </c:plotArea>
    <c:legend>
      <c:legendPos val="b"/>
      <c:layout>
        <c:manualLayout>
          <c:xMode val="edge"/>
          <c:yMode val="edge"/>
          <c:wMode val="edge"/>
          <c:hMode val="edge"/>
          <c:x val="0.14170709337661294"/>
          <c:y val="0.94514967274660289"/>
          <c:w val="0.86312534604671998"/>
          <c:h val="0.9936728794976577"/>
        </c:manualLayout>
      </c:layou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ja-JP"/>
        </a:p>
      </c:txPr>
    </c:legend>
    <c:plotVisOnly val="1"/>
    <c:dispBlanksAs val="gap"/>
  </c:chart>
  <c:spPr>
    <a:solidFill>
      <a:srgbClr val="FFFFFF"/>
    </a:solidFill>
    <a:ln w="3175">
      <a:solidFill>
        <a:srgbClr val="000000"/>
      </a:solidFill>
      <a:prstDash val="solid"/>
    </a:ln>
  </c:spPr>
  <c:txPr>
    <a:bodyPr/>
    <a:lstStyle/>
    <a:p>
      <a:pPr>
        <a:defRPr sz="1675" b="0" i="0" u="none" strike="noStrike" baseline="0">
          <a:solidFill>
            <a:srgbClr val="000000"/>
          </a:solidFill>
          <a:latin typeface="Arial"/>
          <a:ea typeface="Arial"/>
          <a:cs typeface="Arial"/>
        </a:defRPr>
      </a:pPr>
      <a:endParaRPr lang="ja-JP"/>
    </a:p>
  </c:txPr>
  <c:printSettings>
    <c:headerFooter alignWithMargins="0"/>
    <c:pageMargins b="1" l="0.75000000000000044" r="0.75000000000000044"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1" i="0" u="none" strike="noStrike" baseline="0">
                <a:solidFill>
                  <a:srgbClr val="000000"/>
                </a:solidFill>
                <a:latin typeface="Arial"/>
                <a:ea typeface="Arial"/>
                <a:cs typeface="Arial"/>
              </a:defRPr>
            </a:pPr>
            <a:r>
              <a:rPr lang="en-US"/>
              <a:t>Feedback Voltage  vs  Switching Frequency</a:t>
            </a:r>
          </a:p>
        </c:rich>
      </c:tx>
      <c:layout>
        <c:manualLayout>
          <c:xMode val="edge"/>
          <c:yMode val="edge"/>
          <c:x val="0.252818373548717"/>
          <c:y val="1.079913606911447E-2"/>
        </c:manualLayout>
      </c:layout>
      <c:spPr>
        <a:noFill/>
        <a:ln w="25400">
          <a:noFill/>
        </a:ln>
      </c:spPr>
    </c:title>
    <c:plotArea>
      <c:layout>
        <c:manualLayout>
          <c:layoutTarget val="inner"/>
          <c:xMode val="edge"/>
          <c:yMode val="edge"/>
          <c:x val="0.11433190282165676"/>
          <c:y val="0.12311028102039294"/>
          <c:w val="0.84541195748408215"/>
          <c:h val="0.69546509629064068"/>
        </c:manualLayout>
      </c:layout>
      <c:scatterChart>
        <c:scatterStyle val="smoothMarker"/>
        <c:ser>
          <c:idx val="0"/>
          <c:order val="0"/>
          <c:tx>
            <c:v>Rated Power</c:v>
          </c:tx>
          <c:spPr>
            <a:ln w="12700">
              <a:solidFill>
                <a:srgbClr val="000080"/>
              </a:solidFill>
              <a:prstDash val="solid"/>
            </a:ln>
          </c:spPr>
          <c:marker>
            <c:symbol val="diamond"/>
            <c:size val="5"/>
            <c:spPr>
              <a:solidFill>
                <a:srgbClr val="000080"/>
              </a:solidFill>
              <a:ln>
                <a:solidFill>
                  <a:srgbClr val="000080"/>
                </a:solidFill>
                <a:prstDash val="solid"/>
              </a:ln>
            </c:spPr>
          </c:marker>
          <c:xVal>
            <c:numRef>
              <c:f>'QR Simulator'!$N$54:$N$74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'QR Simulator'!$J$91:$J$111</c:f>
              <c:numCache>
                <c:formatCode>0.000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1"/>
        </c:ser>
        <c:ser>
          <c:idx val="1"/>
          <c:order val="1"/>
          <c:tx>
            <c:v>Input Low Line</c:v>
          </c:tx>
          <c:spPr>
            <a:ln w="12700">
              <a:solidFill>
                <a:srgbClr val="FF00FF"/>
              </a:solidFill>
              <a:prstDash val="solid"/>
            </a:ln>
          </c:spPr>
          <c:marker>
            <c:symbol val="square"/>
            <c:size val="5"/>
            <c:spPr>
              <a:solidFill>
                <a:srgbClr val="FF00FF"/>
              </a:solidFill>
              <a:ln>
                <a:solidFill>
                  <a:srgbClr val="FF00FF"/>
                </a:solidFill>
                <a:prstDash val="solid"/>
              </a:ln>
            </c:spPr>
          </c:marker>
          <c:xVal>
            <c:numRef>
              <c:f>'QR Simulator'!$O$54:$O$74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'QR Simulator'!$J$137:$J$157</c:f>
              <c:numCache>
                <c:formatCode>0.000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1"/>
        </c:ser>
        <c:ser>
          <c:idx val="2"/>
          <c:order val="2"/>
          <c:tx>
            <c:v>Input High Line</c:v>
          </c:tx>
          <c:spPr>
            <a:ln w="12700">
              <a:solidFill>
                <a:srgbClr val="FF0000"/>
              </a:solidFill>
              <a:prstDash val="solid"/>
            </a:ln>
          </c:spPr>
          <c:marker>
            <c:symbol val="triangle"/>
            <c:size val="5"/>
            <c:spPr>
              <a:solidFill>
                <a:srgbClr val="FF0000"/>
              </a:solidFill>
              <a:ln>
                <a:solidFill>
                  <a:srgbClr val="FF0000"/>
                </a:solidFill>
                <a:prstDash val="solid"/>
              </a:ln>
            </c:spPr>
          </c:marker>
          <c:xVal>
            <c:numRef>
              <c:f>'QR Simulator'!$P$54:$P$74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'QR Simulator'!$J$180:$J$200</c:f>
              <c:numCache>
                <c:formatCode>0.000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1"/>
        </c:ser>
        <c:axId val="42973056"/>
        <c:axId val="42983808"/>
      </c:scatterChart>
      <c:valAx>
        <c:axId val="42973056"/>
        <c:scaling>
          <c:orientation val="minMax"/>
          <c:max val="140"/>
          <c:min val="0"/>
        </c:scaling>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125" b="1" i="0" u="none" strike="noStrike" baseline="0">
                    <a:solidFill>
                      <a:srgbClr val="000000"/>
                    </a:solidFill>
                    <a:latin typeface="Arial"/>
                    <a:cs typeface="Arial"/>
                  </a:rPr>
                  <a:t>f</a:t>
                </a:r>
                <a:r>
                  <a:rPr lang="en-US" altLang="ja-JP" sz="1125" b="1" i="0" u="none" strike="noStrike" baseline="-25000">
                    <a:solidFill>
                      <a:srgbClr val="000000"/>
                    </a:solidFill>
                    <a:latin typeface="Arial"/>
                    <a:cs typeface="Arial"/>
                  </a:rPr>
                  <a:t>S</a:t>
                </a:r>
                <a:r>
                  <a:rPr lang="en-US" altLang="ja-JP" sz="1125" b="1" i="0" u="none" strike="noStrike" baseline="0">
                    <a:solidFill>
                      <a:srgbClr val="000000"/>
                    </a:solidFill>
                    <a:latin typeface="Arial"/>
                    <a:cs typeface="Arial"/>
                  </a:rPr>
                  <a:t> - Switching Frequency - kHz</a:t>
                </a:r>
              </a:p>
            </c:rich>
          </c:tx>
          <c:layout>
            <c:manualLayout>
              <c:xMode val="edge"/>
              <c:yMode val="edge"/>
              <c:x val="0.36231934776268904"/>
              <c:y val="0.88337023746761667"/>
            </c:manualLayout>
          </c:layout>
          <c:spPr>
            <a:noFill/>
            <a:ln w="25400">
              <a:noFill/>
            </a:ln>
          </c:spPr>
        </c:title>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ja-JP"/>
          </a:p>
        </c:txPr>
        <c:crossAx val="42983808"/>
        <c:crossesAt val="0"/>
        <c:crossBetween val="midCat"/>
        <c:majorUnit val="20"/>
        <c:minorUnit val="4"/>
      </c:valAx>
      <c:valAx>
        <c:axId val="42983808"/>
        <c:scaling>
          <c:orientation val="minMax"/>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000" b="1" i="0" u="none" strike="noStrike" baseline="0">
                    <a:solidFill>
                      <a:srgbClr val="000000"/>
                    </a:solidFill>
                    <a:latin typeface="Arial"/>
                    <a:cs typeface="Arial"/>
                  </a:rPr>
                  <a:t>V</a:t>
                </a:r>
                <a:r>
                  <a:rPr lang="en-US" altLang="ja-JP" sz="1000" b="1" i="0" u="none" strike="noStrike" baseline="-25000">
                    <a:solidFill>
                      <a:srgbClr val="000000"/>
                    </a:solidFill>
                    <a:latin typeface="Arial"/>
                    <a:cs typeface="Arial"/>
                  </a:rPr>
                  <a:t>FB</a:t>
                </a:r>
                <a:r>
                  <a:rPr lang="en-US" altLang="ja-JP" sz="1000" b="1" i="0" u="none" strike="noStrike" baseline="0">
                    <a:solidFill>
                      <a:srgbClr val="000000"/>
                    </a:solidFill>
                    <a:latin typeface="Arial"/>
                    <a:cs typeface="Arial"/>
                  </a:rPr>
                  <a:t> - Feedback Voltage - V</a:t>
                </a:r>
              </a:p>
            </c:rich>
          </c:tx>
          <c:layout>
            <c:manualLayout>
              <c:xMode val="edge"/>
              <c:yMode val="edge"/>
              <c:x val="1.610305958132045E-2"/>
              <c:y val="0.28293759176431238"/>
            </c:manualLayout>
          </c:layout>
          <c:spPr>
            <a:noFill/>
            <a:ln w="25400">
              <a:noFill/>
            </a:ln>
          </c:spPr>
        </c:title>
        <c:numFmt formatCode="0.0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ja-JP"/>
          </a:p>
        </c:txPr>
        <c:crossAx val="42973056"/>
        <c:crossesAt val="0"/>
        <c:crossBetween val="midCat"/>
      </c:valAx>
      <c:spPr>
        <a:blipFill dpi="0" rotWithShape="0">
          <a:blip xmlns:r="http://schemas.openxmlformats.org/officeDocument/2006/relationships" r:embed="rId1"/>
          <a:srcRect/>
          <a:stretch>
            <a:fillRect/>
          </a:stretch>
        </a:blipFill>
        <a:ln w="12700">
          <a:solidFill>
            <a:srgbClr val="808080"/>
          </a:solidFill>
          <a:prstDash val="solid"/>
        </a:ln>
      </c:spPr>
    </c:plotArea>
    <c:legend>
      <c:legendPos val="r"/>
      <c:layout>
        <c:manualLayout>
          <c:xMode val="edge"/>
          <c:yMode val="edge"/>
          <c:wMode val="edge"/>
          <c:hMode val="edge"/>
          <c:x val="0.24315653779992474"/>
          <c:y val="0.94168557224083482"/>
          <c:w val="0.8164263041998977"/>
          <c:h val="0.99352142537258425"/>
        </c:manualLayout>
      </c:layout>
      <c:spPr>
        <a:solidFill>
          <a:srgbClr val="FFFFFF"/>
        </a:solidFill>
        <a:ln w="3175">
          <a:solidFill>
            <a:srgbClr val="000000"/>
          </a:solidFill>
          <a:prstDash val="solid"/>
        </a:ln>
      </c:spPr>
      <c:txPr>
        <a:bodyPr/>
        <a:lstStyle/>
        <a:p>
          <a:pPr>
            <a:defRPr sz="870" b="0" i="0" u="none" strike="noStrike" baseline="0">
              <a:solidFill>
                <a:srgbClr val="000000"/>
              </a:solidFill>
              <a:latin typeface="Arial"/>
              <a:ea typeface="Arial"/>
              <a:cs typeface="Arial"/>
            </a:defRPr>
          </a:pPr>
          <a:endParaRPr lang="ja-JP"/>
        </a:p>
      </c:txPr>
    </c:legend>
    <c:plotVisOnly val="1"/>
    <c:dispBlanksAs val="gap"/>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ja-JP"/>
    </a:p>
  </c:txPr>
  <c:printSettings>
    <c:headerFooter alignWithMargins="0"/>
    <c:pageMargins b="1" l="0.75000000000000044" r="0.750000000000000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b="1" i="0" u="none" strike="noStrike" baseline="0">
                <a:solidFill>
                  <a:srgbClr val="000000"/>
                </a:solidFill>
                <a:latin typeface="Arial"/>
                <a:ea typeface="Arial"/>
                <a:cs typeface="Arial"/>
              </a:defRPr>
            </a:pPr>
            <a:r>
              <a:rPr lang="en-US"/>
              <a:t>Input Power  vs  Switching Frequency</a:t>
            </a:r>
          </a:p>
        </c:rich>
      </c:tx>
      <c:layout>
        <c:manualLayout>
          <c:xMode val="edge"/>
          <c:yMode val="edge"/>
          <c:x val="0.31562047497685974"/>
          <c:y val="3.7527593818984545E-2"/>
        </c:manualLayout>
      </c:layout>
      <c:spPr>
        <a:noFill/>
        <a:ln w="25400">
          <a:noFill/>
        </a:ln>
      </c:spPr>
    </c:title>
    <c:plotArea>
      <c:layout>
        <c:manualLayout>
          <c:layoutTarget val="inner"/>
          <c:xMode val="edge"/>
          <c:yMode val="edge"/>
          <c:x val="0.13043498772611556"/>
          <c:y val="0.1434881680467199"/>
          <c:w val="0.84058103201274403"/>
          <c:h val="0.67329063468076356"/>
        </c:manualLayout>
      </c:layout>
      <c:scatterChart>
        <c:scatterStyle val="smoothMarker"/>
        <c:ser>
          <c:idx val="1"/>
          <c:order val="0"/>
          <c:tx>
            <c:v>Input Low Line</c:v>
          </c:tx>
          <c:spPr>
            <a:ln w="12700">
              <a:solidFill>
                <a:srgbClr val="FF00FF"/>
              </a:solidFill>
              <a:prstDash val="solid"/>
            </a:ln>
          </c:spPr>
          <c:marker>
            <c:symbol val="square"/>
            <c:size val="5"/>
            <c:spPr>
              <a:solidFill>
                <a:srgbClr val="FF00FF"/>
              </a:solidFill>
              <a:ln>
                <a:solidFill>
                  <a:srgbClr val="FF00FF"/>
                </a:solidFill>
                <a:prstDash val="solid"/>
              </a:ln>
            </c:spPr>
          </c:marker>
          <c:xVal>
            <c:numRef>
              <c:f>'QR Simulator'!$O$54:$O$74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'QR Simulator'!$D$137:$D$157</c:f>
              <c:numCache>
                <c:formatCode>0.000</c:formatCode>
                <c:ptCount val="21"/>
                <c:pt idx="0">
                  <c:v>65</c:v>
                </c:pt>
                <c:pt idx="1">
                  <c:v>61.749999999999993</c:v>
                </c:pt>
                <c:pt idx="2">
                  <c:v>58.5</c:v>
                </c:pt>
                <c:pt idx="3">
                  <c:v>55.249999999999993</c:v>
                </c:pt>
                <c:pt idx="4">
                  <c:v>52</c:v>
                </c:pt>
                <c:pt idx="5">
                  <c:v>48.75</c:v>
                </c:pt>
                <c:pt idx="6">
                  <c:v>45.499999999999993</c:v>
                </c:pt>
                <c:pt idx="7">
                  <c:v>42.25</c:v>
                </c:pt>
                <c:pt idx="8">
                  <c:v>39</c:v>
                </c:pt>
                <c:pt idx="9">
                  <c:v>35.75</c:v>
                </c:pt>
                <c:pt idx="10">
                  <c:v>32.5</c:v>
                </c:pt>
                <c:pt idx="11">
                  <c:v>29.25</c:v>
                </c:pt>
                <c:pt idx="12">
                  <c:v>26</c:v>
                </c:pt>
                <c:pt idx="13">
                  <c:v>22.749999999999996</c:v>
                </c:pt>
                <c:pt idx="14">
                  <c:v>19.5</c:v>
                </c:pt>
                <c:pt idx="15">
                  <c:v>16.25</c:v>
                </c:pt>
                <c:pt idx="16">
                  <c:v>13</c:v>
                </c:pt>
                <c:pt idx="17">
                  <c:v>9.75</c:v>
                </c:pt>
                <c:pt idx="18">
                  <c:v>6.5</c:v>
                </c:pt>
                <c:pt idx="19">
                  <c:v>3.2499999999999956</c:v>
                </c:pt>
                <c:pt idx="20">
                  <c:v>0.65</c:v>
                </c:pt>
              </c:numCache>
            </c:numRef>
          </c:yVal>
          <c:smooth val="1"/>
        </c:ser>
        <c:ser>
          <c:idx val="2"/>
          <c:order val="1"/>
          <c:tx>
            <c:v>Input High Line</c:v>
          </c:tx>
          <c:spPr>
            <a:ln w="12700">
              <a:solidFill>
                <a:srgbClr val="FF0000"/>
              </a:solidFill>
              <a:prstDash val="solid"/>
            </a:ln>
          </c:spPr>
          <c:marker>
            <c:symbol val="triangle"/>
            <c:size val="5"/>
            <c:spPr>
              <a:solidFill>
                <a:srgbClr val="FF0000"/>
              </a:solidFill>
              <a:ln>
                <a:solidFill>
                  <a:srgbClr val="FF0000"/>
                </a:solidFill>
                <a:prstDash val="solid"/>
              </a:ln>
            </c:spPr>
          </c:marker>
          <c:xVal>
            <c:numRef>
              <c:f>'QR Simulator'!$P$54:$P$74</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xVal>
          <c:yVal>
            <c:numRef>
              <c:f>'QR Simulator'!$D$180:$D$200</c:f>
              <c:numCache>
                <c:formatCode>0.000</c:formatCode>
                <c:ptCount val="21"/>
                <c:pt idx="0">
                  <c:v>65</c:v>
                </c:pt>
                <c:pt idx="1">
                  <c:v>61.749999999999993</c:v>
                </c:pt>
                <c:pt idx="2">
                  <c:v>58.5</c:v>
                </c:pt>
                <c:pt idx="3">
                  <c:v>55.249999999999993</c:v>
                </c:pt>
                <c:pt idx="4">
                  <c:v>52</c:v>
                </c:pt>
                <c:pt idx="5">
                  <c:v>48.75</c:v>
                </c:pt>
                <c:pt idx="6">
                  <c:v>45.499999999999993</c:v>
                </c:pt>
                <c:pt idx="7">
                  <c:v>42.25</c:v>
                </c:pt>
                <c:pt idx="8">
                  <c:v>39</c:v>
                </c:pt>
                <c:pt idx="9">
                  <c:v>35.75</c:v>
                </c:pt>
                <c:pt idx="10">
                  <c:v>32.5</c:v>
                </c:pt>
                <c:pt idx="11">
                  <c:v>29.25</c:v>
                </c:pt>
                <c:pt idx="12">
                  <c:v>26</c:v>
                </c:pt>
                <c:pt idx="13">
                  <c:v>22.749999999999996</c:v>
                </c:pt>
                <c:pt idx="14">
                  <c:v>19.5</c:v>
                </c:pt>
                <c:pt idx="15">
                  <c:v>16.25</c:v>
                </c:pt>
                <c:pt idx="16">
                  <c:v>13</c:v>
                </c:pt>
                <c:pt idx="17">
                  <c:v>9.75</c:v>
                </c:pt>
                <c:pt idx="18">
                  <c:v>6.5</c:v>
                </c:pt>
                <c:pt idx="19">
                  <c:v>3.2499999999999956</c:v>
                </c:pt>
                <c:pt idx="20">
                  <c:v>0.65</c:v>
                </c:pt>
              </c:numCache>
            </c:numRef>
          </c:yVal>
          <c:smooth val="1"/>
        </c:ser>
        <c:ser>
          <c:idx val="3"/>
          <c:order val="2"/>
          <c:tx>
            <c:v>Power Limit</c:v>
          </c:tx>
          <c:spPr>
            <a:ln w="12700">
              <a:solidFill>
                <a:srgbClr val="00FFFF"/>
              </a:solidFill>
              <a:prstDash val="solid"/>
            </a:ln>
          </c:spPr>
          <c:marker>
            <c:symbol val="x"/>
            <c:size val="5"/>
            <c:spPr>
              <a:noFill/>
              <a:ln>
                <a:solidFill>
                  <a:srgbClr val="00FFFF"/>
                </a:solidFill>
                <a:prstDash val="solid"/>
              </a:ln>
            </c:spPr>
          </c:marker>
          <c:xVal>
            <c:numRef>
              <c:f>'QR Simulator'!$Q$54:$Q$74</c:f>
              <c:numCache>
                <c:formatCode>0</c:formatCode>
                <c:ptCount val="21"/>
                <c:pt idx="0">
                  <c:v>54.968589495316877</c:v>
                </c:pt>
                <c:pt idx="1">
                  <c:v>55.642544065931553</c:v>
                </c:pt>
                <c:pt idx="2">
                  <c:v>56.303327260838365</c:v>
                </c:pt>
                <c:pt idx="3">
                  <c:v>56.951843093895071</c:v>
                </c:pt>
                <c:pt idx="4">
                  <c:v>57.588929631764138</c:v>
                </c:pt>
                <c:pt idx="5">
                  <c:v>58.215365148984979</c:v>
                </c:pt>
                <c:pt idx="6">
                  <c:v>58.831873608943994</c:v>
                </c:pt>
                <c:pt idx="7">
                  <c:v>59.43912955604894</c:v>
                </c:pt>
                <c:pt idx="8">
                  <c:v>60.037762492158606</c:v>
                </c:pt>
                <c:pt idx="9">
                  <c:v>60.628360800046046</c:v>
                </c:pt>
                <c:pt idx="10">
                  <c:v>61.211475268026199</c:v>
                </c:pt>
                <c:pt idx="11">
                  <c:v>61.787622262563517</c:v>
                </c:pt>
                <c:pt idx="12">
                  <c:v>62.357286589467797</c:v>
                </c:pt>
                <c:pt idx="13">
                  <c:v>62.920924078997899</c:v>
                </c:pt>
                <c:pt idx="14">
                  <c:v>63.478963925672339</c:v>
                </c:pt>
                <c:pt idx="15">
                  <c:v>64.031810809711047</c:v>
                </c:pt>
                <c:pt idx="16">
                  <c:v>64.579846823700663</c:v>
                </c:pt>
                <c:pt idx="17">
                  <c:v>65.123433225203115</c:v>
                </c:pt>
                <c:pt idx="18">
                  <c:v>65.662912033543378</c:v>
                </c:pt>
                <c:pt idx="19">
                  <c:v>66.198607486861192</c:v>
                </c:pt>
                <c:pt idx="20">
                  <c:v>66.730827373641389</c:v>
                </c:pt>
              </c:numCache>
            </c:numRef>
          </c:xVal>
          <c:yVal>
            <c:numRef>
              <c:f>'QR Simulator'!$E$206:$E$226</c:f>
              <c:numCache>
                <c:formatCode>0.000</c:formatCode>
                <c:ptCount val="21"/>
                <c:pt idx="0">
                  <c:v>103.69392687333193</c:v>
                </c:pt>
                <c:pt idx="1">
                  <c:v>104.1591576902303</c:v>
                </c:pt>
                <c:pt idx="2">
                  <c:v>104.58353969127481</c:v>
                </c:pt>
                <c:pt idx="3">
                  <c:v>104.96942005800791</c:v>
                </c:pt>
                <c:pt idx="4">
                  <c:v>105.31896917142348</c:v>
                </c:pt>
                <c:pt idx="5">
                  <c:v>105.6341969889184</c:v>
                </c:pt>
                <c:pt idx="6">
                  <c:v>105.91696762766765</c:v>
                </c:pt>
                <c:pt idx="7">
                  <c:v>106.16901238079522</c:v>
                </c:pt>
                <c:pt idx="8">
                  <c:v>106.39194136032299</c:v>
                </c:pt>
                <c:pt idx="9">
                  <c:v>106.58725393369242</c:v>
                </c:pt>
                <c:pt idx="10">
                  <c:v>106.75634809774181</c:v>
                </c:pt>
                <c:pt idx="11">
                  <c:v>106.90052891462679</c:v>
                </c:pt>
                <c:pt idx="12">
                  <c:v>107.02101611769649</c:v>
                </c:pt>
                <c:pt idx="13">
                  <c:v>107.11895098129732</c:v>
                </c:pt>
                <c:pt idx="14">
                  <c:v>107.19540253646522</c:v>
                </c:pt>
                <c:pt idx="15">
                  <c:v>107.25137320416958</c:v>
                </c:pt>
                <c:pt idx="16">
                  <c:v>107.28780390891222</c:v>
                </c:pt>
                <c:pt idx="17">
                  <c:v>107.30557872784465</c:v>
                </c:pt>
                <c:pt idx="18">
                  <c:v>107.30552912395946</c:v>
                </c:pt>
                <c:pt idx="19">
                  <c:v>107.2884378061852</c:v>
                </c:pt>
                <c:pt idx="20">
                  <c:v>107.25504225423843</c:v>
                </c:pt>
              </c:numCache>
            </c:numRef>
          </c:yVal>
          <c:smooth val="1"/>
        </c:ser>
        <c:axId val="57771520"/>
        <c:axId val="57790464"/>
      </c:scatterChart>
      <c:valAx>
        <c:axId val="57771520"/>
        <c:scaling>
          <c:orientation val="minMax"/>
          <c:max val="140"/>
          <c:min val="0"/>
        </c:scaling>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950" b="1" i="0" u="none" strike="noStrike" baseline="0">
                    <a:solidFill>
                      <a:srgbClr val="000000"/>
                    </a:solidFill>
                    <a:latin typeface="Arial"/>
                    <a:cs typeface="Arial"/>
                  </a:rPr>
                  <a:t>f</a:t>
                </a:r>
                <a:r>
                  <a:rPr lang="en-US" altLang="ja-JP" sz="950" b="1" i="0" u="none" strike="noStrike" baseline="-25000">
                    <a:solidFill>
                      <a:srgbClr val="000000"/>
                    </a:solidFill>
                    <a:latin typeface="Arial"/>
                    <a:cs typeface="Arial"/>
                  </a:rPr>
                  <a:t>S</a:t>
                </a:r>
                <a:r>
                  <a:rPr lang="en-US" altLang="ja-JP" sz="950" b="1" i="0" u="none" strike="noStrike" baseline="0">
                    <a:solidFill>
                      <a:srgbClr val="000000"/>
                    </a:solidFill>
                    <a:latin typeface="Arial"/>
                    <a:cs typeface="Arial"/>
                  </a:rPr>
                  <a:t> - Switching Frequency - kHz</a:t>
                </a:r>
              </a:p>
            </c:rich>
          </c:tx>
          <c:layout>
            <c:manualLayout>
              <c:xMode val="edge"/>
              <c:yMode val="edge"/>
              <c:x val="0.39452563598632295"/>
              <c:y val="0.87638154502210397"/>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ja-JP"/>
          </a:p>
        </c:txPr>
        <c:crossAx val="57790464"/>
        <c:crosses val="autoZero"/>
        <c:crossBetween val="midCat"/>
        <c:majorUnit val="20"/>
        <c:minorUnit val="4"/>
      </c:valAx>
      <c:valAx>
        <c:axId val="57790464"/>
        <c:scaling>
          <c:orientation val="minMax"/>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000" b="1" i="0" u="none" strike="noStrike" baseline="0">
                    <a:solidFill>
                      <a:srgbClr val="000000"/>
                    </a:solidFill>
                    <a:latin typeface="Arial"/>
                    <a:cs typeface="Arial"/>
                  </a:rPr>
                  <a:t>P</a:t>
                </a:r>
                <a:r>
                  <a:rPr lang="en-US" altLang="ja-JP" sz="1000" b="1" i="0" u="none" strike="noStrike" baseline="-25000">
                    <a:solidFill>
                      <a:srgbClr val="000000"/>
                    </a:solidFill>
                    <a:latin typeface="Arial"/>
                    <a:cs typeface="Arial"/>
                  </a:rPr>
                  <a:t>IN</a:t>
                </a:r>
                <a:r>
                  <a:rPr lang="en-US" altLang="ja-JP" sz="1000" b="1" i="0" u="none" strike="noStrike" baseline="0">
                    <a:solidFill>
                      <a:srgbClr val="000000"/>
                    </a:solidFill>
                    <a:latin typeface="Arial"/>
                    <a:cs typeface="Arial"/>
                  </a:rPr>
                  <a:t> - Input Power - W</a:t>
                </a:r>
              </a:p>
            </c:rich>
          </c:tx>
          <c:layout>
            <c:manualLayout>
              <c:xMode val="edge"/>
              <c:yMode val="edge"/>
              <c:x val="5.4750571637482516E-2"/>
              <c:y val="0.32891901757313452"/>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ja-JP"/>
          </a:p>
        </c:txPr>
        <c:crossAx val="57771520"/>
        <c:crossesAt val="0"/>
        <c:crossBetween val="midCat"/>
      </c:valAx>
      <c:spPr>
        <a:blipFill dpi="0" rotWithShape="0">
          <a:blip xmlns:r="http://schemas.openxmlformats.org/officeDocument/2006/relationships" r:embed="rId1"/>
          <a:srcRect/>
          <a:stretch>
            <a:fillRect/>
          </a:stretch>
        </a:blipFill>
        <a:ln w="12700">
          <a:solidFill>
            <a:srgbClr val="808080"/>
          </a:solidFill>
          <a:prstDash val="solid"/>
        </a:ln>
      </c:spPr>
    </c:plotArea>
    <c:legend>
      <c:legendPos val="r"/>
      <c:layout>
        <c:manualLayout>
          <c:xMode val="edge"/>
          <c:yMode val="edge"/>
          <c:wMode val="edge"/>
          <c:hMode val="edge"/>
          <c:x val="0.25442834138486314"/>
          <c:y val="0.94039735099337751"/>
          <c:w val="0.81964573268921093"/>
          <c:h val="0.99337748344370869"/>
        </c:manualLayout>
      </c:layout>
      <c:spPr>
        <a:solidFill>
          <a:srgbClr val="FFFFFF"/>
        </a:solidFill>
        <a:ln w="3175">
          <a:solidFill>
            <a:srgbClr val="000000"/>
          </a:solidFill>
          <a:prstDash val="solid"/>
        </a:ln>
      </c:spPr>
      <c:txPr>
        <a:bodyPr/>
        <a:lstStyle/>
        <a:p>
          <a:pPr>
            <a:defRPr sz="870" b="0" i="0" u="none" strike="noStrike" baseline="0">
              <a:solidFill>
                <a:srgbClr val="000000"/>
              </a:solidFill>
              <a:latin typeface="Arial"/>
              <a:ea typeface="Arial"/>
              <a:cs typeface="Arial"/>
            </a:defRPr>
          </a:pPr>
          <a:endParaRPr lang="ja-JP"/>
        </a:p>
      </c:txPr>
    </c:legend>
    <c:plotVisOnly val="1"/>
    <c:dispBlanksAs val="gap"/>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ja-JP"/>
    </a:p>
  </c:txPr>
  <c:printSettings>
    <c:headerFooter alignWithMargins="0"/>
    <c:pageMargins b="1" l="0.75000000000000044" r="0.75000000000000044" t="1" header="0.5" footer="0.5"/>
    <c:pageSetup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0</xdr:colOff>
      <xdr:row>26</xdr:row>
      <xdr:rowOff>66675</xdr:rowOff>
    </xdr:from>
    <xdr:to>
      <xdr:col>11</xdr:col>
      <xdr:colOff>676275</xdr:colOff>
      <xdr:row>43</xdr:row>
      <xdr:rowOff>152400</xdr:rowOff>
    </xdr:to>
    <xdr:graphicFrame macro="">
      <xdr:nvGraphicFramePr>
        <xdr:cNvPr id="9133" name="Chart 4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44</xdr:row>
      <xdr:rowOff>190500</xdr:rowOff>
    </xdr:from>
    <xdr:to>
      <xdr:col>11</xdr:col>
      <xdr:colOff>676275</xdr:colOff>
      <xdr:row>51</xdr:row>
      <xdr:rowOff>0</xdr:rowOff>
    </xdr:to>
    <xdr:graphicFrame macro="">
      <xdr:nvGraphicFramePr>
        <xdr:cNvPr id="9134" name="Chart 13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xdr:row>
      <xdr:rowOff>19050</xdr:rowOff>
    </xdr:from>
    <xdr:to>
      <xdr:col>11</xdr:col>
      <xdr:colOff>676275</xdr:colOff>
      <xdr:row>26</xdr:row>
      <xdr:rowOff>0</xdr:rowOff>
    </xdr:to>
    <xdr:graphicFrame macro="">
      <xdr:nvGraphicFramePr>
        <xdr:cNvPr id="9135" name="Chart 17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0.91595</cdr:x>
      <cdr:y>0.68044</cdr:y>
    </cdr:from>
    <cdr:to>
      <cdr:x>0.96367</cdr:x>
      <cdr:y>0.72958</cdr:y>
    </cdr:to>
    <cdr:sp macro="" textlink="">
      <cdr:nvSpPr>
        <cdr:cNvPr id="13319" name="Text Box 7"/>
        <cdr:cNvSpPr txBox="1">
          <a:spLocks xmlns:a="http://schemas.openxmlformats.org/drawingml/2006/main" noChangeArrowheads="1"/>
        </cdr:cNvSpPr>
      </cdr:nvSpPr>
      <cdr:spPr bwMode="auto">
        <a:xfrm xmlns:a="http://schemas.openxmlformats.org/drawingml/2006/main">
          <a:off x="5429787" y="2945619"/>
          <a:ext cx="282721" cy="21251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0.90833</cdr:x>
      <cdr:y>0.68264</cdr:y>
    </cdr:from>
    <cdr:to>
      <cdr:x>0.96884</cdr:x>
      <cdr:y>0.72958</cdr:y>
    </cdr:to>
    <cdr:sp macro="" textlink="'QR Simulator'!$C$134">
      <cdr:nvSpPr>
        <cdr:cNvPr id="13320" name="Text Box 8"/>
        <cdr:cNvSpPr txBox="1">
          <a:spLocks xmlns:a="http://schemas.openxmlformats.org/drawingml/2006/main" noChangeArrowheads="1" noTextEdit="1"/>
        </cdr:cNvSpPr>
      </cdr:nvSpPr>
      <cdr:spPr bwMode="auto">
        <a:xfrm xmlns:a="http://schemas.openxmlformats.org/drawingml/2006/main">
          <a:off x="5384610" y="2955134"/>
          <a:ext cx="358501" cy="20299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
  <dimension ref="A1:P62"/>
  <sheetViews>
    <sheetView workbookViewId="0"/>
  </sheetViews>
  <sheetFormatPr defaultRowHeight="12.75"/>
  <cols>
    <col min="1" max="1" width="0.7109375" customWidth="1"/>
    <col min="15" max="15" width="10.140625" customWidth="1"/>
  </cols>
  <sheetData>
    <row r="1" spans="1:16" ht="13.5" thickTop="1">
      <c r="A1" s="2"/>
      <c r="B1" s="3"/>
      <c r="C1" s="3"/>
      <c r="D1" s="3"/>
      <c r="E1" s="3"/>
      <c r="F1" s="3"/>
      <c r="G1" s="3"/>
      <c r="H1" s="3"/>
      <c r="I1" s="3"/>
      <c r="J1" s="3"/>
      <c r="K1" s="3"/>
      <c r="L1" s="3"/>
      <c r="M1" s="3"/>
      <c r="N1" s="3"/>
      <c r="O1" s="3"/>
      <c r="P1" s="4"/>
    </row>
    <row r="2" spans="1:16">
      <c r="A2" s="5"/>
      <c r="B2" s="6"/>
      <c r="C2" s="6"/>
      <c r="D2" s="6"/>
      <c r="E2" s="6"/>
      <c r="F2" s="6"/>
      <c r="G2" s="6"/>
      <c r="H2" s="6"/>
      <c r="I2" s="6"/>
      <c r="J2" s="6"/>
      <c r="K2" s="6"/>
      <c r="L2" s="6"/>
      <c r="M2" s="6"/>
      <c r="N2" s="6"/>
      <c r="O2" s="6"/>
      <c r="P2" s="7"/>
    </row>
    <row r="3" spans="1:16" ht="30">
      <c r="A3" s="5"/>
      <c r="B3" s="6"/>
      <c r="C3" s="6"/>
      <c r="D3" s="8"/>
      <c r="E3" s="6"/>
      <c r="F3" s="6"/>
      <c r="G3" s="6"/>
      <c r="H3" s="6"/>
      <c r="I3" s="6"/>
      <c r="J3" s="6"/>
      <c r="K3" s="6"/>
      <c r="L3" s="9"/>
      <c r="M3" s="6"/>
      <c r="N3" s="6"/>
      <c r="O3" s="6"/>
      <c r="P3" s="7"/>
    </row>
    <row r="4" spans="1:16" ht="23.25">
      <c r="A4" s="5"/>
      <c r="B4" s="6"/>
      <c r="C4" s="6"/>
      <c r="D4" s="10"/>
      <c r="E4" s="6"/>
      <c r="F4" s="6"/>
      <c r="G4" s="6"/>
      <c r="H4" s="6"/>
      <c r="I4" s="6"/>
      <c r="J4" s="6"/>
      <c r="K4" s="6"/>
      <c r="L4" s="6"/>
      <c r="M4" s="6"/>
      <c r="N4" s="6"/>
      <c r="O4" s="6"/>
      <c r="P4" s="7"/>
    </row>
    <row r="5" spans="1:16">
      <c r="A5" s="5"/>
      <c r="B5" s="6"/>
      <c r="C5" s="6"/>
      <c r="D5" s="6"/>
      <c r="E5" s="6"/>
      <c r="F5" s="6"/>
      <c r="G5" s="6"/>
      <c r="H5" s="6"/>
      <c r="I5" s="6"/>
      <c r="J5" s="6"/>
      <c r="K5" s="6"/>
      <c r="L5" s="6"/>
      <c r="M5" s="6"/>
      <c r="N5" s="6"/>
      <c r="O5" s="6"/>
      <c r="P5" s="7"/>
    </row>
    <row r="6" spans="1:16">
      <c r="A6" s="5"/>
      <c r="B6" s="6"/>
      <c r="C6" s="6"/>
      <c r="D6" s="6"/>
      <c r="E6" s="6"/>
      <c r="F6" s="6"/>
      <c r="G6" s="6"/>
      <c r="H6" s="6"/>
      <c r="I6" s="6"/>
      <c r="J6" s="6"/>
      <c r="K6" s="6"/>
      <c r="L6" s="6"/>
      <c r="M6" s="6"/>
      <c r="N6" s="6"/>
      <c r="O6" s="6"/>
      <c r="P6" s="7"/>
    </row>
    <row r="7" spans="1:16" ht="15.75">
      <c r="A7" s="5"/>
      <c r="B7" s="6"/>
      <c r="C7" s="6"/>
      <c r="D7" s="6"/>
      <c r="E7" s="6"/>
      <c r="F7" s="6"/>
      <c r="G7" s="6"/>
      <c r="H7" s="6"/>
      <c r="I7" s="6"/>
      <c r="J7" s="6"/>
      <c r="K7" s="6"/>
      <c r="L7" s="6"/>
      <c r="M7" s="9"/>
      <c r="N7" s="6"/>
      <c r="O7" s="9"/>
      <c r="P7" s="18"/>
    </row>
    <row r="8" spans="1:16" ht="29.25">
      <c r="A8" s="17"/>
      <c r="B8" s="16" t="s">
        <v>105</v>
      </c>
      <c r="C8" s="6"/>
      <c r="D8" s="6"/>
      <c r="E8" s="6"/>
      <c r="F8" s="6"/>
      <c r="G8" s="6"/>
      <c r="H8" s="6"/>
      <c r="I8" s="6"/>
      <c r="J8" s="6"/>
      <c r="K8" s="6"/>
      <c r="L8" s="6"/>
      <c r="M8" s="6"/>
      <c r="N8" s="6"/>
      <c r="O8" s="6"/>
      <c r="P8" s="19"/>
    </row>
    <row r="9" spans="1:16">
      <c r="A9" s="5"/>
      <c r="B9" s="6"/>
      <c r="C9" s="6"/>
      <c r="D9" s="6"/>
      <c r="E9" s="6"/>
      <c r="F9" s="6"/>
      <c r="G9" s="6"/>
      <c r="H9" s="6"/>
      <c r="I9" s="6"/>
      <c r="J9" s="6"/>
      <c r="K9" s="6"/>
      <c r="L9" s="6"/>
      <c r="M9" s="6"/>
      <c r="N9" s="6"/>
      <c r="O9" s="6"/>
      <c r="P9" s="7"/>
    </row>
    <row r="10" spans="1:16">
      <c r="A10" s="5"/>
      <c r="B10" s="6"/>
      <c r="C10" s="6"/>
      <c r="D10" s="6"/>
      <c r="E10" s="6"/>
      <c r="F10" s="6"/>
      <c r="G10" s="6"/>
      <c r="H10" s="6"/>
      <c r="I10" s="6"/>
      <c r="J10" s="6"/>
      <c r="K10" s="6"/>
      <c r="L10" s="6"/>
      <c r="M10" s="6"/>
      <c r="N10" s="6"/>
      <c r="O10" s="6"/>
      <c r="P10" s="7"/>
    </row>
    <row r="11" spans="1:16">
      <c r="A11" s="5"/>
      <c r="B11" s="6"/>
      <c r="C11" s="6" t="s">
        <v>94</v>
      </c>
      <c r="D11" s="6"/>
      <c r="E11" s="6"/>
      <c r="F11" s="6"/>
      <c r="G11" s="6"/>
      <c r="H11" s="6"/>
      <c r="I11" s="6"/>
      <c r="J11" s="6"/>
      <c r="K11" s="6"/>
      <c r="L11" s="6"/>
      <c r="M11" s="6"/>
      <c r="N11" s="6"/>
      <c r="O11" s="6"/>
      <c r="P11" s="7" t="s">
        <v>92</v>
      </c>
    </row>
    <row r="12" spans="1:16">
      <c r="A12" s="5"/>
      <c r="B12" s="6"/>
      <c r="C12" s="6" t="s">
        <v>95</v>
      </c>
      <c r="D12" s="6"/>
      <c r="E12" s="6"/>
      <c r="F12" s="6"/>
      <c r="G12" s="6"/>
      <c r="H12" s="6"/>
      <c r="I12" s="6"/>
      <c r="J12" s="6"/>
      <c r="K12" s="6"/>
      <c r="L12" s="6"/>
      <c r="M12" s="6"/>
      <c r="N12" s="6"/>
      <c r="O12" s="6"/>
      <c r="P12" s="7"/>
    </row>
    <row r="13" spans="1:16">
      <c r="A13" s="5"/>
      <c r="B13" s="6"/>
      <c r="C13" s="6"/>
      <c r="D13" s="6"/>
      <c r="E13" s="6"/>
      <c r="F13" s="6"/>
      <c r="G13" s="6"/>
      <c r="H13" s="6"/>
      <c r="I13" s="6"/>
      <c r="J13" s="6"/>
      <c r="K13" s="6"/>
      <c r="L13" s="6"/>
      <c r="M13" s="6"/>
      <c r="N13" s="6"/>
      <c r="O13" s="6"/>
      <c r="P13" s="7" t="s">
        <v>93</v>
      </c>
    </row>
    <row r="14" spans="1:16">
      <c r="A14" s="5"/>
      <c r="B14" s="6"/>
      <c r="C14" s="6"/>
      <c r="D14" s="6"/>
      <c r="E14" s="6"/>
      <c r="F14" s="6"/>
      <c r="G14" s="6"/>
      <c r="H14" s="6"/>
      <c r="I14" s="6"/>
      <c r="J14" s="6"/>
      <c r="K14" s="6"/>
      <c r="L14" s="6"/>
      <c r="M14" s="6"/>
      <c r="N14" s="6"/>
      <c r="O14" s="6"/>
      <c r="P14" s="7"/>
    </row>
    <row r="15" spans="1:16">
      <c r="A15" s="5"/>
      <c r="B15" s="6" t="s">
        <v>106</v>
      </c>
      <c r="C15" s="6" t="s">
        <v>101</v>
      </c>
      <c r="D15" s="6"/>
      <c r="E15" s="6"/>
      <c r="F15" s="6"/>
      <c r="G15" s="6"/>
      <c r="H15" s="6"/>
      <c r="I15" s="6"/>
      <c r="J15" s="6"/>
      <c r="K15" s="6"/>
      <c r="L15" s="6"/>
      <c r="M15" s="6"/>
      <c r="N15" s="6"/>
      <c r="O15" s="6"/>
      <c r="P15" s="7"/>
    </row>
    <row r="16" spans="1:16">
      <c r="A16" s="5"/>
      <c r="B16" s="15"/>
      <c r="C16" s="15"/>
      <c r="D16" s="6"/>
      <c r="E16" s="6"/>
      <c r="F16" s="6"/>
      <c r="G16" s="6"/>
      <c r="H16" s="6"/>
      <c r="I16" s="6"/>
      <c r="J16" s="6"/>
      <c r="K16" s="6"/>
      <c r="L16" s="6"/>
      <c r="M16" s="6"/>
      <c r="N16" s="6"/>
      <c r="O16" s="6"/>
      <c r="P16" s="7"/>
    </row>
    <row r="17" spans="1:16">
      <c r="A17" s="5"/>
      <c r="B17" s="6"/>
      <c r="C17" s="6"/>
      <c r="D17" s="6"/>
      <c r="E17" s="6"/>
      <c r="F17" s="6"/>
      <c r="G17" s="6"/>
      <c r="H17" s="6"/>
      <c r="I17" s="6"/>
      <c r="J17" s="6"/>
      <c r="K17" s="6"/>
      <c r="L17" s="6"/>
      <c r="M17" s="6"/>
      <c r="N17" s="6"/>
      <c r="O17" s="6"/>
      <c r="P17" s="7"/>
    </row>
    <row r="18" spans="1:16" ht="15.75">
      <c r="A18" s="5"/>
      <c r="B18" s="6"/>
      <c r="C18" s="6"/>
      <c r="D18" s="11" t="s">
        <v>96</v>
      </c>
      <c r="E18" s="6"/>
      <c r="F18" s="6"/>
      <c r="G18" s="6"/>
      <c r="H18" s="6"/>
      <c r="I18" s="6"/>
      <c r="J18" s="6"/>
      <c r="K18" s="6"/>
      <c r="L18" s="6"/>
      <c r="M18" s="6"/>
      <c r="N18" s="6"/>
      <c r="O18" s="6"/>
      <c r="P18" s="7"/>
    </row>
    <row r="19" spans="1:16">
      <c r="A19" s="5"/>
      <c r="B19" s="6"/>
      <c r="C19" s="6"/>
      <c r="D19" s="6" t="s">
        <v>97</v>
      </c>
      <c r="E19" s="6"/>
      <c r="F19" s="6"/>
      <c r="G19" s="6"/>
      <c r="H19" s="6"/>
      <c r="I19" s="6"/>
      <c r="J19" s="6"/>
      <c r="K19" s="6"/>
      <c r="L19" s="6"/>
      <c r="M19" s="6"/>
      <c r="N19" s="6"/>
      <c r="O19" s="6"/>
      <c r="P19" s="7"/>
    </row>
    <row r="20" spans="1:16">
      <c r="A20" s="5"/>
      <c r="B20" s="6"/>
      <c r="C20" s="6"/>
      <c r="D20" s="6" t="s">
        <v>98</v>
      </c>
      <c r="E20" s="6"/>
      <c r="F20" s="6"/>
      <c r="G20" s="6"/>
      <c r="H20" s="6"/>
      <c r="I20" s="6"/>
      <c r="J20" s="6"/>
      <c r="K20" s="6"/>
      <c r="L20" s="6"/>
      <c r="M20" s="6"/>
      <c r="N20" s="6"/>
      <c r="O20" s="6"/>
      <c r="P20" s="7"/>
    </row>
    <row r="21" spans="1:16">
      <c r="A21" s="5"/>
      <c r="B21" s="6"/>
      <c r="C21" s="6"/>
      <c r="D21" s="6" t="s">
        <v>99</v>
      </c>
      <c r="E21" s="6"/>
      <c r="F21" s="6"/>
      <c r="G21" s="6"/>
      <c r="H21" s="6"/>
      <c r="I21" s="6"/>
      <c r="J21" s="6"/>
      <c r="K21" s="6"/>
      <c r="L21" s="6"/>
      <c r="M21" s="6"/>
      <c r="N21" s="6"/>
      <c r="O21" s="6"/>
      <c r="P21" s="7"/>
    </row>
    <row r="22" spans="1:16">
      <c r="A22" s="5"/>
      <c r="B22" s="6"/>
      <c r="C22" s="6"/>
      <c r="D22" s="6" t="s">
        <v>100</v>
      </c>
      <c r="E22" s="6"/>
      <c r="F22" s="6"/>
      <c r="G22" s="6"/>
      <c r="H22" s="6"/>
      <c r="I22" s="6"/>
      <c r="J22" s="6"/>
      <c r="K22" s="6"/>
      <c r="L22" s="6"/>
      <c r="M22" s="6"/>
      <c r="N22" s="6"/>
      <c r="O22" s="6"/>
      <c r="P22" s="7"/>
    </row>
    <row r="23" spans="1:16">
      <c r="A23" s="5"/>
      <c r="B23" s="6"/>
      <c r="C23" s="6"/>
      <c r="D23" s="6"/>
      <c r="E23" s="6"/>
      <c r="F23" s="6"/>
      <c r="G23" s="6"/>
      <c r="H23" s="6"/>
      <c r="I23" s="6"/>
      <c r="J23" s="6"/>
      <c r="K23" s="6"/>
      <c r="L23" s="6"/>
      <c r="M23" s="6"/>
      <c r="N23" s="6"/>
      <c r="O23" s="6"/>
      <c r="P23" s="7"/>
    </row>
    <row r="24" spans="1:16">
      <c r="A24" s="5"/>
      <c r="B24" s="6"/>
      <c r="C24" s="6"/>
      <c r="D24" s="6"/>
      <c r="E24" s="6"/>
      <c r="F24" s="6"/>
      <c r="G24" s="6"/>
      <c r="H24" s="6"/>
      <c r="I24" s="6"/>
      <c r="J24" s="6"/>
      <c r="K24" s="6"/>
      <c r="L24" s="6"/>
      <c r="M24" s="6"/>
      <c r="N24" s="6"/>
      <c r="O24" s="6"/>
      <c r="P24" s="7"/>
    </row>
    <row r="25" spans="1:16">
      <c r="A25" s="5"/>
      <c r="B25" s="6"/>
      <c r="C25" s="6"/>
      <c r="D25" s="6"/>
      <c r="E25" s="6"/>
      <c r="F25" s="6"/>
      <c r="G25" s="6"/>
      <c r="H25" s="6"/>
      <c r="I25" s="6"/>
      <c r="J25" s="6"/>
      <c r="K25" s="6"/>
      <c r="L25" s="6"/>
      <c r="M25" s="6"/>
      <c r="N25" s="6"/>
      <c r="O25" s="6"/>
      <c r="P25" s="7"/>
    </row>
    <row r="26" spans="1:16">
      <c r="A26" s="5"/>
      <c r="B26" s="6"/>
      <c r="C26" s="6"/>
      <c r="D26" s="6"/>
      <c r="E26" s="6"/>
      <c r="F26" s="6"/>
      <c r="G26" s="6"/>
      <c r="H26" s="6"/>
      <c r="I26" s="6"/>
      <c r="J26" s="6"/>
      <c r="K26" s="6"/>
      <c r="L26" s="6"/>
      <c r="M26" s="6"/>
      <c r="N26" s="6"/>
      <c r="O26" s="6"/>
      <c r="P26" s="7"/>
    </row>
    <row r="27" spans="1:16">
      <c r="A27" s="5"/>
      <c r="B27" s="6"/>
      <c r="C27" s="6"/>
      <c r="D27" s="6"/>
      <c r="E27" s="6"/>
      <c r="F27" s="6"/>
      <c r="G27" s="6"/>
      <c r="H27" s="6"/>
      <c r="I27" s="6"/>
      <c r="J27" s="6"/>
      <c r="K27" s="6"/>
      <c r="L27" s="6"/>
      <c r="M27" s="6"/>
      <c r="N27" s="6"/>
      <c r="O27" s="6"/>
      <c r="P27" s="7"/>
    </row>
    <row r="28" spans="1:16">
      <c r="A28" s="5"/>
      <c r="B28" s="6"/>
      <c r="C28" s="6"/>
      <c r="D28" s="6"/>
      <c r="E28" s="6"/>
      <c r="F28" s="6"/>
      <c r="G28" s="6"/>
      <c r="H28" s="6"/>
      <c r="I28" s="6"/>
      <c r="J28" s="6"/>
      <c r="K28" s="6"/>
      <c r="L28" s="6"/>
      <c r="M28" s="6"/>
      <c r="N28" s="6"/>
      <c r="O28" s="6"/>
      <c r="P28" s="7"/>
    </row>
    <row r="29" spans="1:16">
      <c r="A29" s="5"/>
      <c r="B29" s="6"/>
      <c r="C29" s="6"/>
      <c r="D29" s="6"/>
      <c r="E29" s="6"/>
      <c r="F29" s="6"/>
      <c r="G29" s="6"/>
      <c r="H29" s="6"/>
      <c r="I29" s="6"/>
      <c r="J29" s="6"/>
      <c r="K29" s="6"/>
      <c r="L29" s="6"/>
      <c r="M29" s="6"/>
      <c r="N29" s="6"/>
      <c r="O29" s="6"/>
      <c r="P29" s="7"/>
    </row>
    <row r="30" spans="1:16">
      <c r="A30" s="5"/>
      <c r="B30" s="6"/>
      <c r="C30" s="6"/>
      <c r="D30" s="6"/>
      <c r="E30" s="6"/>
      <c r="F30" s="6"/>
      <c r="G30" s="6"/>
      <c r="H30" s="6"/>
      <c r="I30" s="6"/>
      <c r="J30" s="6"/>
      <c r="K30" s="6"/>
      <c r="L30" s="6"/>
      <c r="M30" s="6"/>
      <c r="N30" s="6"/>
      <c r="O30" s="6"/>
      <c r="P30" s="7"/>
    </row>
    <row r="31" spans="1:16">
      <c r="A31" s="5"/>
      <c r="B31" s="6"/>
      <c r="C31" s="6"/>
      <c r="D31" s="6"/>
      <c r="E31" s="6"/>
      <c r="F31" s="6"/>
      <c r="G31" s="6"/>
      <c r="H31" s="6"/>
      <c r="I31" s="6"/>
      <c r="J31" s="6"/>
      <c r="K31" s="6"/>
      <c r="L31" s="6"/>
      <c r="M31" s="6"/>
      <c r="N31" s="6"/>
      <c r="O31" s="6"/>
      <c r="P31" s="7"/>
    </row>
    <row r="32" spans="1:16">
      <c r="A32" s="5"/>
      <c r="B32" s="6"/>
      <c r="C32" s="6"/>
      <c r="D32" s="6"/>
      <c r="E32" s="6"/>
      <c r="F32" s="6"/>
      <c r="G32" s="6"/>
      <c r="H32" s="6"/>
      <c r="I32" s="6"/>
      <c r="J32" s="6"/>
      <c r="K32" s="6"/>
      <c r="L32" s="6"/>
      <c r="M32" s="6"/>
      <c r="N32" s="6"/>
      <c r="O32" s="6"/>
      <c r="P32" s="7"/>
    </row>
    <row r="33" spans="1:16">
      <c r="A33" s="5"/>
      <c r="B33" s="6"/>
      <c r="C33" s="6"/>
      <c r="D33" s="6"/>
      <c r="E33" s="6"/>
      <c r="F33" s="6"/>
      <c r="G33" s="6"/>
      <c r="H33" s="6"/>
      <c r="I33" s="6"/>
      <c r="J33" s="6"/>
      <c r="K33" s="6"/>
      <c r="L33" s="6"/>
      <c r="M33" s="6"/>
      <c r="N33" s="6"/>
      <c r="O33" s="6"/>
      <c r="P33" s="7"/>
    </row>
    <row r="34" spans="1:16">
      <c r="A34" s="5"/>
      <c r="B34" s="6"/>
      <c r="C34" s="6"/>
      <c r="D34" s="6"/>
      <c r="E34" s="6"/>
      <c r="F34" s="6"/>
      <c r="G34" s="6"/>
      <c r="H34" s="6"/>
      <c r="I34" s="6"/>
      <c r="J34" s="6"/>
      <c r="K34" s="6"/>
      <c r="L34" s="6"/>
      <c r="M34" s="6"/>
      <c r="N34" s="6"/>
      <c r="O34" s="6"/>
      <c r="P34" s="7"/>
    </row>
    <row r="35" spans="1:16">
      <c r="A35" s="5"/>
      <c r="B35" s="6"/>
      <c r="C35" s="6"/>
      <c r="D35" s="6"/>
      <c r="E35" s="6"/>
      <c r="F35" s="6"/>
      <c r="G35" s="6"/>
      <c r="H35" s="6"/>
      <c r="I35" s="6"/>
      <c r="J35" s="6"/>
      <c r="K35" s="6"/>
      <c r="L35" s="6"/>
      <c r="M35" s="6"/>
      <c r="N35" s="6"/>
      <c r="O35" s="6"/>
      <c r="P35" s="7"/>
    </row>
    <row r="36" spans="1:16">
      <c r="A36" s="5"/>
      <c r="B36" s="6"/>
      <c r="C36" s="6"/>
      <c r="D36" s="6"/>
      <c r="E36" s="6"/>
      <c r="F36" s="6"/>
      <c r="G36" s="6"/>
      <c r="H36" s="6"/>
      <c r="I36" s="6"/>
      <c r="J36" s="6"/>
      <c r="K36" s="6"/>
      <c r="L36" s="6"/>
      <c r="M36" s="6"/>
      <c r="N36" s="6"/>
      <c r="O36" s="6"/>
      <c r="P36" s="7"/>
    </row>
    <row r="37" spans="1:16">
      <c r="A37" s="5"/>
      <c r="B37" s="6"/>
      <c r="C37" s="6"/>
      <c r="D37" s="6"/>
      <c r="E37" s="6"/>
      <c r="F37" s="6"/>
      <c r="G37" s="6"/>
      <c r="H37" s="6"/>
      <c r="I37" s="6"/>
      <c r="J37" s="6"/>
      <c r="K37" s="6"/>
      <c r="L37" s="6"/>
      <c r="M37" s="6"/>
      <c r="N37" s="6"/>
      <c r="O37" s="6"/>
      <c r="P37" s="7"/>
    </row>
    <row r="38" spans="1:16">
      <c r="A38" s="5"/>
      <c r="B38" s="6"/>
      <c r="C38" s="6"/>
      <c r="D38" s="6"/>
      <c r="E38" s="6"/>
      <c r="F38" s="6"/>
      <c r="G38" s="6"/>
      <c r="H38" s="6"/>
      <c r="I38" s="6"/>
      <c r="J38" s="6"/>
      <c r="K38" s="6"/>
      <c r="L38" s="6"/>
      <c r="M38" s="6"/>
      <c r="N38" s="6"/>
      <c r="O38" s="6"/>
      <c r="P38" s="7"/>
    </row>
    <row r="39" spans="1:16">
      <c r="A39" s="5"/>
      <c r="B39" s="6"/>
      <c r="C39" s="6"/>
      <c r="D39" s="6"/>
      <c r="E39" s="6"/>
      <c r="F39" s="6"/>
      <c r="G39" s="6"/>
      <c r="H39" s="6"/>
      <c r="I39" s="6"/>
      <c r="J39" s="6"/>
      <c r="K39" s="6"/>
      <c r="L39" s="6"/>
      <c r="M39" s="6"/>
      <c r="N39" s="6"/>
      <c r="O39" s="6"/>
      <c r="P39" s="7"/>
    </row>
    <row r="40" spans="1:16">
      <c r="A40" s="5"/>
      <c r="B40" s="6"/>
      <c r="C40" s="6"/>
      <c r="D40" s="6"/>
      <c r="E40" s="6"/>
      <c r="F40" s="6"/>
      <c r="G40" s="6"/>
      <c r="H40" s="6"/>
      <c r="I40" s="6"/>
      <c r="J40" s="6"/>
      <c r="K40" s="6"/>
      <c r="L40" s="6"/>
      <c r="M40" s="6"/>
      <c r="N40" s="6"/>
      <c r="O40" s="6"/>
      <c r="P40" s="7"/>
    </row>
    <row r="41" spans="1:16">
      <c r="A41" s="5"/>
      <c r="B41" s="6"/>
      <c r="C41" s="6"/>
      <c r="D41" s="6"/>
      <c r="E41" s="6"/>
      <c r="F41" s="6"/>
      <c r="G41" s="6"/>
      <c r="H41" s="6"/>
      <c r="I41" s="6"/>
      <c r="J41" s="6"/>
      <c r="K41" s="6"/>
      <c r="L41" s="6"/>
      <c r="M41" s="6"/>
      <c r="N41" s="6"/>
      <c r="O41" s="6"/>
      <c r="P41" s="7"/>
    </row>
    <row r="42" spans="1:16">
      <c r="A42" s="5"/>
      <c r="B42" s="6"/>
      <c r="C42" s="6"/>
      <c r="D42" s="6"/>
      <c r="E42" s="6"/>
      <c r="F42" s="6"/>
      <c r="G42" s="6"/>
      <c r="H42" s="6"/>
      <c r="I42" s="6"/>
      <c r="J42" s="6"/>
      <c r="K42" s="6"/>
      <c r="L42" s="6"/>
      <c r="M42" s="6"/>
      <c r="N42" s="6"/>
      <c r="O42" s="6"/>
      <c r="P42" s="7"/>
    </row>
    <row r="43" spans="1:16">
      <c r="A43" s="5"/>
      <c r="B43" s="6"/>
      <c r="C43" s="6"/>
      <c r="D43" s="6"/>
      <c r="E43" s="6"/>
      <c r="F43" s="6"/>
      <c r="G43" s="6"/>
      <c r="H43" s="6"/>
      <c r="I43" s="6"/>
      <c r="J43" s="6"/>
      <c r="K43" s="6"/>
      <c r="L43" s="6"/>
      <c r="M43" s="6"/>
      <c r="N43" s="6"/>
      <c r="O43" s="6"/>
      <c r="P43" s="7"/>
    </row>
    <row r="44" spans="1:16">
      <c r="A44" s="5"/>
      <c r="B44" s="6"/>
      <c r="C44" s="6"/>
      <c r="D44" s="6"/>
      <c r="E44" s="6"/>
      <c r="F44" s="6"/>
      <c r="G44" s="6"/>
      <c r="H44" s="6"/>
      <c r="I44" s="6"/>
      <c r="J44" s="6"/>
      <c r="K44" s="6"/>
      <c r="L44" s="6"/>
      <c r="M44" s="6"/>
      <c r="N44" s="6"/>
      <c r="O44" s="6"/>
      <c r="P44" s="7"/>
    </row>
    <row r="45" spans="1:16">
      <c r="A45" s="5"/>
      <c r="B45" s="6"/>
      <c r="C45" s="6"/>
      <c r="D45" s="6"/>
      <c r="E45" s="6"/>
      <c r="F45" s="6"/>
      <c r="G45" s="6"/>
      <c r="H45" s="6"/>
      <c r="I45" s="6"/>
      <c r="J45" s="6"/>
      <c r="K45" s="6"/>
      <c r="L45" s="6"/>
      <c r="M45" s="6"/>
      <c r="N45" s="6"/>
      <c r="O45" s="6"/>
      <c r="P45" s="7"/>
    </row>
    <row r="46" spans="1:16">
      <c r="A46" s="5"/>
      <c r="B46" s="6"/>
      <c r="C46" s="6"/>
      <c r="D46" s="6"/>
      <c r="E46" s="6"/>
      <c r="F46" s="6"/>
      <c r="G46" s="6"/>
      <c r="H46" s="6"/>
      <c r="I46" s="6"/>
      <c r="J46" s="6"/>
      <c r="K46" s="6"/>
      <c r="L46" s="6"/>
      <c r="M46" s="6"/>
      <c r="N46" s="6"/>
      <c r="O46" s="6"/>
      <c r="P46" s="7"/>
    </row>
    <row r="47" spans="1:16">
      <c r="A47" s="5"/>
      <c r="B47" s="6"/>
      <c r="C47" s="6"/>
      <c r="D47" s="6"/>
      <c r="E47" s="6"/>
      <c r="F47" s="6"/>
      <c r="G47" s="6"/>
      <c r="H47" s="6"/>
      <c r="I47" s="6"/>
      <c r="J47" s="6"/>
      <c r="K47" s="6"/>
      <c r="L47" s="6"/>
      <c r="M47" s="6"/>
      <c r="N47" s="6"/>
      <c r="O47" s="6"/>
      <c r="P47" s="7"/>
    </row>
    <row r="48" spans="1:16">
      <c r="A48" s="5"/>
      <c r="B48" s="6"/>
      <c r="C48" s="6"/>
      <c r="D48" s="6"/>
      <c r="E48" s="6"/>
      <c r="F48" s="6"/>
      <c r="G48" s="6"/>
      <c r="H48" s="6"/>
      <c r="I48" s="6"/>
      <c r="J48" s="6"/>
      <c r="K48" s="6"/>
      <c r="L48" s="6"/>
      <c r="M48" s="6"/>
      <c r="N48" s="6"/>
      <c r="O48" s="6"/>
      <c r="P48" s="7"/>
    </row>
    <row r="49" spans="1:16">
      <c r="A49" s="5"/>
      <c r="B49" s="6"/>
      <c r="C49" s="6"/>
      <c r="D49" s="6"/>
      <c r="E49" s="6"/>
      <c r="F49" s="6"/>
      <c r="G49" s="6"/>
      <c r="H49" s="6"/>
      <c r="I49" s="6"/>
      <c r="J49" s="6"/>
      <c r="K49" s="6"/>
      <c r="L49" s="6"/>
      <c r="M49" s="6"/>
      <c r="N49" s="6"/>
      <c r="O49" s="6"/>
      <c r="P49" s="7"/>
    </row>
    <row r="50" spans="1:16" ht="15.75">
      <c r="A50" s="5"/>
      <c r="B50" s="6"/>
      <c r="C50" s="11"/>
      <c r="D50" s="6"/>
      <c r="E50" s="6"/>
      <c r="F50" s="6"/>
      <c r="G50" s="6"/>
      <c r="H50" s="6"/>
      <c r="I50" s="6"/>
      <c r="J50" s="6"/>
      <c r="K50" s="6"/>
      <c r="L50" s="6"/>
      <c r="M50" s="6"/>
      <c r="N50" s="6"/>
      <c r="O50" s="6"/>
      <c r="P50" s="7"/>
    </row>
    <row r="51" spans="1:16">
      <c r="A51" s="5"/>
      <c r="B51" s="6"/>
      <c r="C51" s="6"/>
      <c r="D51" s="6"/>
      <c r="E51" s="6"/>
      <c r="F51" s="6"/>
      <c r="G51" s="6"/>
      <c r="H51" s="6"/>
      <c r="I51" s="6"/>
      <c r="J51" s="6"/>
      <c r="K51" s="6"/>
      <c r="L51" s="6"/>
      <c r="M51" s="6"/>
      <c r="N51" s="6"/>
      <c r="O51" s="6"/>
      <c r="P51" s="7"/>
    </row>
    <row r="52" spans="1:16">
      <c r="A52" s="5"/>
      <c r="B52" s="6"/>
      <c r="C52" s="6"/>
      <c r="D52" s="6"/>
      <c r="E52" s="6"/>
      <c r="F52" s="6"/>
      <c r="G52" s="6"/>
      <c r="H52" s="6"/>
      <c r="I52" s="6"/>
      <c r="J52" s="6"/>
      <c r="K52" s="6"/>
      <c r="L52" s="6"/>
      <c r="M52" s="6"/>
      <c r="N52" s="6"/>
      <c r="O52" s="6"/>
      <c r="P52" s="7"/>
    </row>
    <row r="53" spans="1:16">
      <c r="A53" s="5"/>
      <c r="B53" s="6"/>
      <c r="C53" s="6"/>
      <c r="D53" s="6"/>
      <c r="E53" s="6"/>
      <c r="F53" s="6"/>
      <c r="G53" s="6"/>
      <c r="H53" s="6"/>
      <c r="I53" s="6"/>
      <c r="J53" s="6"/>
      <c r="K53" s="6"/>
      <c r="L53" s="6"/>
      <c r="M53" s="6"/>
      <c r="N53" s="6"/>
      <c r="O53" s="6"/>
      <c r="P53" s="7"/>
    </row>
    <row r="54" spans="1:16">
      <c r="A54" s="5"/>
      <c r="B54" s="6"/>
      <c r="C54" s="6"/>
      <c r="D54" s="6"/>
      <c r="E54" s="6"/>
      <c r="F54" s="6"/>
      <c r="G54" s="6"/>
      <c r="H54" s="6"/>
      <c r="I54" s="6"/>
      <c r="J54" s="6"/>
      <c r="K54" s="6"/>
      <c r="L54" s="6"/>
      <c r="M54" s="6"/>
      <c r="N54" s="6"/>
      <c r="O54" s="6"/>
      <c r="P54" s="7"/>
    </row>
    <row r="55" spans="1:16">
      <c r="A55" s="5"/>
      <c r="B55" s="6"/>
      <c r="C55" s="6"/>
      <c r="D55" s="6"/>
      <c r="E55" s="6"/>
      <c r="F55" s="6"/>
      <c r="G55" s="6"/>
      <c r="H55" s="6"/>
      <c r="I55" s="6"/>
      <c r="J55" s="6"/>
      <c r="K55" s="6"/>
      <c r="L55" s="6"/>
      <c r="M55" s="6"/>
      <c r="N55" s="6"/>
      <c r="O55" s="6"/>
      <c r="P55" s="7"/>
    </row>
    <row r="56" spans="1:16">
      <c r="A56" s="5"/>
      <c r="B56" s="6"/>
      <c r="C56" s="6"/>
      <c r="D56" s="6"/>
      <c r="E56" s="6"/>
      <c r="F56" s="6"/>
      <c r="G56" s="6"/>
      <c r="H56" s="6"/>
      <c r="I56" s="6"/>
      <c r="J56" s="6"/>
      <c r="K56" s="6"/>
      <c r="L56" s="6"/>
      <c r="M56" s="6"/>
      <c r="N56" s="6"/>
      <c r="O56" s="6"/>
      <c r="P56" s="7"/>
    </row>
    <row r="57" spans="1:16">
      <c r="A57" s="5"/>
      <c r="B57" s="6"/>
      <c r="C57" s="6"/>
      <c r="D57" s="6"/>
      <c r="E57" s="6"/>
      <c r="F57" s="6"/>
      <c r="G57" s="6"/>
      <c r="H57" s="6"/>
      <c r="I57" s="6"/>
      <c r="J57" s="6"/>
      <c r="K57" s="6"/>
      <c r="L57" s="6"/>
      <c r="M57" s="6"/>
      <c r="N57" s="6"/>
      <c r="O57" s="6"/>
      <c r="P57" s="7"/>
    </row>
    <row r="58" spans="1:16">
      <c r="A58" s="5"/>
      <c r="B58" s="6"/>
      <c r="C58" s="6"/>
      <c r="D58" s="6"/>
      <c r="E58" s="6"/>
      <c r="F58" s="6"/>
      <c r="G58" s="6"/>
      <c r="H58" s="6"/>
      <c r="I58" s="6"/>
      <c r="J58" s="6"/>
      <c r="K58" s="6"/>
      <c r="L58" s="6"/>
      <c r="M58" s="6"/>
      <c r="N58" s="6"/>
      <c r="O58" s="6"/>
      <c r="P58" s="7"/>
    </row>
    <row r="59" spans="1:16">
      <c r="A59" s="5"/>
      <c r="B59" s="6"/>
      <c r="C59" s="6"/>
      <c r="D59" s="6"/>
      <c r="E59" s="6"/>
      <c r="F59" s="6"/>
      <c r="G59" s="6"/>
      <c r="H59" s="6"/>
      <c r="I59" s="6"/>
      <c r="J59" s="6"/>
      <c r="K59" s="6"/>
      <c r="L59" s="6"/>
      <c r="M59" s="6"/>
      <c r="N59" s="6"/>
      <c r="O59" s="6"/>
      <c r="P59" s="7"/>
    </row>
    <row r="60" spans="1:16">
      <c r="A60" s="5"/>
      <c r="B60" s="6"/>
      <c r="C60" s="6"/>
      <c r="D60" s="6"/>
      <c r="E60" s="6"/>
      <c r="F60" s="6"/>
      <c r="G60" s="6"/>
      <c r="H60" s="6"/>
      <c r="I60" s="6"/>
      <c r="J60" s="6"/>
      <c r="K60" s="6"/>
      <c r="L60" s="6"/>
      <c r="M60" s="6"/>
      <c r="N60" s="6"/>
      <c r="O60" s="6"/>
      <c r="P60" s="7"/>
    </row>
    <row r="61" spans="1:16" ht="13.5" thickBot="1">
      <c r="A61" s="12"/>
      <c r="B61" s="13"/>
      <c r="C61" s="13"/>
      <c r="D61" s="13"/>
      <c r="E61" s="13"/>
      <c r="F61" s="13"/>
      <c r="G61" s="13"/>
      <c r="H61" s="13"/>
      <c r="I61" s="13"/>
      <c r="J61" s="13"/>
      <c r="K61" s="13"/>
      <c r="L61" s="13"/>
      <c r="M61" s="13"/>
      <c r="N61" s="13"/>
      <c r="O61" s="13"/>
      <c r="P61" s="14"/>
    </row>
    <row r="62" spans="1:16" ht="13.5" thickTop="1"/>
  </sheetData>
  <sheetProtection password="ED9D" sheet="1" objects="1" scenarios="1" selectLockedCells="1" selectUnlockedCells="1"/>
  <customSheetViews>
    <customSheetView guid="{DD33061B-782C-4C0C-B878-DD0814D9D48F}" showRuler="0">
      <selection activeCell="O18" sqref="O18"/>
      <pageMargins left="0.75" right="0.75" top="1" bottom="1" header="0.5" footer="0.5"/>
      <headerFooter alignWithMargins="0"/>
    </customSheetView>
  </customSheetViews>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sheetPr codeName="Sheet4"/>
  <dimension ref="A1:E52"/>
  <sheetViews>
    <sheetView topLeftCell="A10" workbookViewId="0"/>
  </sheetViews>
  <sheetFormatPr defaultRowHeight="12.75"/>
  <cols>
    <col min="2" max="2" width="102.140625" customWidth="1"/>
    <col min="4" max="4" width="14.7109375" customWidth="1"/>
    <col min="5" max="5" width="13.140625" customWidth="1"/>
  </cols>
  <sheetData>
    <row r="1" spans="1:5" ht="13.5" thickTop="1">
      <c r="A1" s="20"/>
      <c r="B1" s="21"/>
      <c r="C1" s="22"/>
    </row>
    <row r="2" spans="1:5" ht="14.25" customHeight="1">
      <c r="A2" s="23"/>
      <c r="B2" s="24" t="s">
        <v>103</v>
      </c>
      <c r="C2" s="19"/>
    </row>
    <row r="3" spans="1:5" ht="14.25" customHeight="1">
      <c r="A3" s="23"/>
      <c r="B3" s="15"/>
      <c r="C3" s="19"/>
    </row>
    <row r="4" spans="1:5" ht="14.25" customHeight="1">
      <c r="A4" s="23"/>
      <c r="B4" s="6" t="s">
        <v>504</v>
      </c>
      <c r="C4" s="19"/>
    </row>
    <row r="5" spans="1:5" ht="13.5" customHeight="1">
      <c r="A5" s="23"/>
      <c r="B5" s="15"/>
      <c r="C5" s="19"/>
    </row>
    <row r="6" spans="1:5" ht="87.75" customHeight="1">
      <c r="A6" s="23"/>
      <c r="B6" s="25" t="s">
        <v>206</v>
      </c>
      <c r="C6" s="19"/>
    </row>
    <row r="7" spans="1:5">
      <c r="A7" s="23"/>
      <c r="B7" s="26"/>
      <c r="C7" s="19"/>
    </row>
    <row r="8" spans="1:5" ht="90" customHeight="1">
      <c r="A8" s="23"/>
      <c r="B8" s="25" t="s">
        <v>207</v>
      </c>
      <c r="C8" s="19"/>
      <c r="D8" s="30"/>
      <c r="E8" s="31"/>
    </row>
    <row r="9" spans="1:5">
      <c r="A9" s="23"/>
      <c r="B9" s="26"/>
      <c r="C9" s="19"/>
    </row>
    <row r="10" spans="1:5" ht="42.75" customHeight="1">
      <c r="A10" s="23"/>
      <c r="B10" s="26" t="s">
        <v>476</v>
      </c>
      <c r="C10" s="19"/>
    </row>
    <row r="11" spans="1:5">
      <c r="A11" s="23"/>
      <c r="B11" s="26"/>
      <c r="C11" s="19"/>
    </row>
    <row r="12" spans="1:5" ht="57">
      <c r="A12" s="23"/>
      <c r="B12" s="26" t="s">
        <v>208</v>
      </c>
      <c r="C12" s="19"/>
    </row>
    <row r="13" spans="1:5">
      <c r="A13" s="23"/>
      <c r="B13" s="26"/>
      <c r="C13" s="19"/>
    </row>
    <row r="14" spans="1:5" ht="89.25" customHeight="1">
      <c r="A14" s="23"/>
      <c r="B14" s="26" t="s">
        <v>104</v>
      </c>
      <c r="C14" s="19"/>
    </row>
    <row r="15" spans="1:5">
      <c r="A15" s="23"/>
      <c r="B15" s="26"/>
      <c r="C15" s="19"/>
    </row>
    <row r="16" spans="1:5" ht="57">
      <c r="A16" s="23"/>
      <c r="B16" s="26" t="s">
        <v>209</v>
      </c>
      <c r="C16" s="19"/>
    </row>
    <row r="17" spans="1:3" ht="7.5" customHeight="1">
      <c r="A17" s="23"/>
      <c r="B17" s="26"/>
      <c r="C17" s="19"/>
    </row>
    <row r="18" spans="1:3" ht="88.5" customHeight="1">
      <c r="A18" s="23"/>
      <c r="B18" s="26" t="s">
        <v>210</v>
      </c>
      <c r="C18" s="19"/>
    </row>
    <row r="19" spans="1:3">
      <c r="A19" s="23"/>
      <c r="B19" s="26"/>
      <c r="C19" s="19"/>
    </row>
    <row r="20" spans="1:3">
      <c r="A20" s="23"/>
      <c r="B20" s="26"/>
      <c r="C20" s="19"/>
    </row>
    <row r="21" spans="1:3">
      <c r="A21" s="23"/>
      <c r="B21" s="26"/>
      <c r="C21" s="19"/>
    </row>
    <row r="22" spans="1:3">
      <c r="A22" s="23"/>
      <c r="B22" s="26"/>
      <c r="C22" s="19"/>
    </row>
    <row r="23" spans="1:3">
      <c r="A23" s="23"/>
      <c r="B23" s="26"/>
      <c r="C23" s="19"/>
    </row>
    <row r="24" spans="1:3">
      <c r="A24" s="23"/>
      <c r="B24" s="26"/>
      <c r="C24" s="19"/>
    </row>
    <row r="25" spans="1:3">
      <c r="A25" s="23"/>
      <c r="B25" s="26"/>
      <c r="C25" s="19"/>
    </row>
    <row r="26" spans="1:3">
      <c r="A26" s="23"/>
      <c r="B26" s="26"/>
      <c r="C26" s="19"/>
    </row>
    <row r="27" spans="1:3">
      <c r="A27" s="23"/>
      <c r="B27" s="26"/>
      <c r="C27" s="19"/>
    </row>
    <row r="28" spans="1:3">
      <c r="A28" s="23"/>
      <c r="B28" s="26"/>
      <c r="C28" s="19"/>
    </row>
    <row r="29" spans="1:3">
      <c r="A29" s="23"/>
      <c r="B29" s="26"/>
      <c r="C29" s="19"/>
    </row>
    <row r="30" spans="1:3" ht="13.5" thickBot="1">
      <c r="A30" s="27"/>
      <c r="B30" s="28"/>
      <c r="C30" s="29"/>
    </row>
    <row r="31" spans="1:3" ht="13.5" thickTop="1">
      <c r="B31" s="1"/>
    </row>
    <row r="32" spans="1:3">
      <c r="B32" s="1"/>
    </row>
    <row r="33" spans="2:2">
      <c r="B33" s="1"/>
    </row>
    <row r="34" spans="2:2">
      <c r="B34" s="1"/>
    </row>
    <row r="35" spans="2:2">
      <c r="B35" s="1"/>
    </row>
    <row r="36" spans="2:2">
      <c r="B36" s="1"/>
    </row>
    <row r="37" spans="2:2">
      <c r="B37" s="1"/>
    </row>
    <row r="38" spans="2:2">
      <c r="B38" s="1"/>
    </row>
    <row r="39" spans="2:2">
      <c r="B39" s="1"/>
    </row>
    <row r="40" spans="2:2">
      <c r="B40" s="1"/>
    </row>
    <row r="41" spans="2:2">
      <c r="B41" s="1"/>
    </row>
    <row r="42" spans="2:2">
      <c r="B42" s="1"/>
    </row>
    <row r="43" spans="2:2">
      <c r="B43" s="1"/>
    </row>
    <row r="44" spans="2:2">
      <c r="B44" s="1"/>
    </row>
    <row r="45" spans="2:2">
      <c r="B45" s="1"/>
    </row>
    <row r="46" spans="2:2">
      <c r="B46" s="1"/>
    </row>
    <row r="47" spans="2:2">
      <c r="B47" s="1"/>
    </row>
    <row r="48" spans="2:2">
      <c r="B48" s="1"/>
    </row>
    <row r="49" spans="2:2">
      <c r="B49" s="1"/>
    </row>
    <row r="50" spans="2:2">
      <c r="B50" s="1"/>
    </row>
    <row r="51" spans="2:2">
      <c r="B51" s="1"/>
    </row>
    <row r="52" spans="2:2">
      <c r="B52" s="1"/>
    </row>
  </sheetData>
  <sheetProtection password="ED9D" sheet="1" objects="1" scenarios="1" selectLockedCells="1" selectUnlockedCells="1"/>
  <customSheetViews>
    <customSheetView guid="{DD33061B-782C-4C0C-B878-DD0814D9D48F}" showRuler="0" topLeftCell="A4">
      <selection activeCell="E6" sqref="E6"/>
      <pageMargins left="0.75" right="0.75" top="1" bottom="1" header="0.5" footer="0.5"/>
      <pageSetup orientation="portrait" r:id="rId1"/>
      <headerFooter alignWithMargins="0"/>
    </customSheetView>
  </customSheetViews>
  <phoneticPr fontId="2" type="noConversion"/>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sheetPr codeName="Sheet1"/>
  <dimension ref="A1:AC193"/>
  <sheetViews>
    <sheetView tabSelected="1" workbookViewId="0">
      <selection activeCell="C12" sqref="C12"/>
    </sheetView>
  </sheetViews>
  <sheetFormatPr defaultRowHeight="12.75"/>
  <cols>
    <col min="1" max="1" width="12.7109375" style="37" customWidth="1"/>
    <col min="2" max="2" width="18.7109375" style="37" customWidth="1"/>
    <col min="3" max="3" width="14.5703125" style="37" customWidth="1"/>
    <col min="4" max="4" width="11.85546875" style="37" customWidth="1"/>
    <col min="5" max="5" width="13.42578125" style="37" customWidth="1"/>
    <col min="6" max="6" width="11" style="37" customWidth="1"/>
    <col min="7" max="7" width="13.140625" style="37" customWidth="1"/>
    <col min="8" max="8" width="12" style="37" customWidth="1"/>
    <col min="9" max="9" width="12.28515625" style="37" customWidth="1"/>
    <col min="10" max="11" width="15.7109375" style="37" customWidth="1"/>
    <col min="12" max="12" width="12.5703125" style="37" bestFit="1" customWidth="1"/>
    <col min="13" max="13" width="12" style="37" customWidth="1"/>
    <col min="14" max="14" width="12.5703125" style="37" hidden="1" customWidth="1"/>
    <col min="15" max="15" width="16.28515625" style="37" hidden="1" customWidth="1"/>
    <col min="16" max="16" width="10.140625" style="37" hidden="1" customWidth="1"/>
    <col min="17" max="17" width="14.28515625" style="37" hidden="1" customWidth="1"/>
    <col min="18" max="20" width="13.28515625" style="37" hidden="1" customWidth="1"/>
    <col min="21" max="21" width="13.42578125" style="37" hidden="1" customWidth="1"/>
    <col min="22" max="22" width="9.42578125" style="37" hidden="1" customWidth="1"/>
    <col min="23" max="23" width="12.5703125" style="37" hidden="1" customWidth="1"/>
    <col min="24" max="24" width="12.7109375" style="37" hidden="1" customWidth="1"/>
    <col min="25" max="25" width="10" style="37" hidden="1" customWidth="1"/>
    <col min="26" max="26" width="12.5703125" style="37" hidden="1" customWidth="1"/>
    <col min="27" max="29" width="10" style="37" hidden="1" customWidth="1"/>
    <col min="30" max="16384" width="9.140625" style="37"/>
  </cols>
  <sheetData>
    <row r="1" spans="1:14">
      <c r="A1" s="164" t="s">
        <v>16</v>
      </c>
      <c r="B1" s="164"/>
      <c r="C1" s="164"/>
      <c r="D1" s="164"/>
      <c r="E1" s="164"/>
      <c r="F1" s="164"/>
      <c r="G1" s="164"/>
      <c r="H1" s="164"/>
      <c r="I1" s="164"/>
      <c r="J1" s="164"/>
      <c r="K1" s="164"/>
      <c r="L1" s="164"/>
      <c r="M1" s="164"/>
    </row>
    <row r="2" spans="1:14">
      <c r="A2" s="164"/>
      <c r="B2" s="164"/>
      <c r="C2" s="164"/>
      <c r="D2" s="164"/>
      <c r="E2" s="164"/>
      <c r="F2" s="164"/>
      <c r="G2" s="164"/>
      <c r="H2" s="164"/>
      <c r="I2" s="164"/>
      <c r="J2" s="164"/>
      <c r="K2" s="164"/>
      <c r="L2" s="164"/>
      <c r="M2" s="164"/>
    </row>
    <row r="3" spans="1:14" ht="12.75" customHeight="1">
      <c r="B3" s="164" t="s">
        <v>475</v>
      </c>
      <c r="C3" s="164"/>
      <c r="D3" s="164"/>
      <c r="E3" s="164"/>
      <c r="F3" s="164"/>
      <c r="G3" s="164"/>
      <c r="H3" s="164"/>
      <c r="I3" s="164"/>
      <c r="J3" s="164"/>
      <c r="K3" s="164"/>
      <c r="L3" s="164"/>
      <c r="M3" s="164"/>
    </row>
    <row r="4" spans="1:14" ht="12.75" customHeight="1">
      <c r="B4" s="164"/>
      <c r="C4" s="164"/>
      <c r="D4" s="164"/>
      <c r="E4" s="164"/>
      <c r="F4" s="164"/>
      <c r="G4" s="164"/>
      <c r="H4" s="164"/>
      <c r="I4" s="164"/>
      <c r="J4" s="164"/>
      <c r="K4" s="164"/>
      <c r="L4" s="164"/>
      <c r="M4" s="164"/>
    </row>
    <row r="5" spans="1:14" ht="12.75" customHeight="1">
      <c r="B5" s="164"/>
      <c r="C5" s="164"/>
      <c r="D5" s="164"/>
      <c r="E5" s="164"/>
      <c r="F5" s="164"/>
      <c r="G5" s="164"/>
      <c r="H5" s="164"/>
      <c r="I5" s="164"/>
      <c r="J5" s="164"/>
      <c r="K5" s="164"/>
      <c r="L5" s="164"/>
      <c r="M5" s="164"/>
    </row>
    <row r="6" spans="1:14" ht="15.75">
      <c r="B6" s="58"/>
      <c r="I6" s="165" t="s">
        <v>322</v>
      </c>
      <c r="J6" s="165"/>
      <c r="K6" s="165"/>
      <c r="L6" s="165"/>
      <c r="M6" s="165"/>
    </row>
    <row r="7" spans="1:14">
      <c r="B7" s="58"/>
      <c r="I7" s="161" t="s">
        <v>443</v>
      </c>
      <c r="J7" s="161"/>
      <c r="K7" s="161"/>
      <c r="L7" s="161"/>
      <c r="M7" s="161"/>
    </row>
    <row r="8" spans="1:14">
      <c r="I8" s="161"/>
      <c r="J8" s="161"/>
      <c r="K8" s="161"/>
      <c r="L8" s="161"/>
      <c r="M8" s="161"/>
      <c r="N8" s="59"/>
    </row>
    <row r="9" spans="1:14" ht="15.75">
      <c r="B9" s="60" t="s">
        <v>17</v>
      </c>
      <c r="C9" s="61"/>
      <c r="I9" s="161"/>
      <c r="J9" s="161"/>
      <c r="K9" s="161"/>
      <c r="L9" s="161"/>
      <c r="M9" s="161"/>
      <c r="N9" s="62"/>
    </row>
    <row r="10" spans="1:14" ht="30.75" customHeight="1">
      <c r="B10" s="63" t="s">
        <v>237</v>
      </c>
      <c r="C10" s="50">
        <v>52</v>
      </c>
      <c r="D10" s="64" t="s">
        <v>107</v>
      </c>
      <c r="I10" s="156" t="s">
        <v>323</v>
      </c>
      <c r="J10" s="156"/>
      <c r="K10" s="156"/>
      <c r="L10" s="156"/>
      <c r="M10" s="156"/>
      <c r="N10" s="65"/>
    </row>
    <row r="11" spans="1:14" ht="29.25" customHeight="1">
      <c r="B11" s="66" t="s">
        <v>142</v>
      </c>
      <c r="C11" s="50">
        <v>52</v>
      </c>
      <c r="D11" s="64" t="s">
        <v>107</v>
      </c>
      <c r="E11" s="67" t="s">
        <v>333</v>
      </c>
      <c r="F11" s="68">
        <f>(C19^2)/C11</f>
        <v>2.7692307692307692</v>
      </c>
      <c r="G11" s="69" t="s">
        <v>270</v>
      </c>
      <c r="H11" s="64"/>
      <c r="I11" s="156" t="s">
        <v>349</v>
      </c>
      <c r="J11" s="156"/>
      <c r="K11" s="156"/>
      <c r="L11" s="156"/>
      <c r="M11" s="156"/>
      <c r="N11" s="65"/>
    </row>
    <row r="12" spans="1:14" ht="33.75" customHeight="1">
      <c r="B12" s="63" t="s">
        <v>18</v>
      </c>
      <c r="C12" s="50">
        <v>0.8</v>
      </c>
      <c r="D12" s="64"/>
      <c r="E12" s="64"/>
      <c r="F12" s="64"/>
      <c r="G12" s="64"/>
      <c r="H12" s="64"/>
      <c r="I12" s="156" t="s">
        <v>324</v>
      </c>
      <c r="J12" s="156"/>
      <c r="K12" s="156"/>
      <c r="L12" s="156"/>
      <c r="M12" s="156"/>
      <c r="N12" s="65"/>
    </row>
    <row r="13" spans="1:14" ht="15.75" customHeight="1">
      <c r="B13" s="70" t="s">
        <v>338</v>
      </c>
      <c r="C13" s="51">
        <f>C10/C12</f>
        <v>65</v>
      </c>
      <c r="D13" s="64" t="s">
        <v>107</v>
      </c>
      <c r="E13" s="64"/>
      <c r="F13" s="64"/>
      <c r="G13" s="64"/>
      <c r="H13" s="64"/>
      <c r="I13" s="156" t="s">
        <v>352</v>
      </c>
      <c r="J13" s="156"/>
      <c r="K13" s="156"/>
      <c r="L13" s="156"/>
      <c r="M13" s="156"/>
      <c r="N13" s="65"/>
    </row>
    <row r="14" spans="1:14" ht="15.75" customHeight="1">
      <c r="B14" s="64" t="s">
        <v>144</v>
      </c>
      <c r="C14" s="50">
        <v>80</v>
      </c>
      <c r="D14" s="64" t="s">
        <v>108</v>
      </c>
      <c r="E14" s="70" t="s">
        <v>334</v>
      </c>
      <c r="F14" s="51">
        <f>C14*SQRT(2)</f>
        <v>113.13708498984761</v>
      </c>
      <c r="G14" s="64" t="s">
        <v>240</v>
      </c>
      <c r="H14" s="64"/>
      <c r="I14" s="156" t="s">
        <v>325</v>
      </c>
      <c r="J14" s="156"/>
      <c r="K14" s="156"/>
      <c r="L14" s="156"/>
      <c r="M14" s="156"/>
      <c r="N14" s="65"/>
    </row>
    <row r="15" spans="1:14" ht="75" customHeight="1">
      <c r="B15" s="64" t="s">
        <v>320</v>
      </c>
      <c r="C15" s="50">
        <v>120</v>
      </c>
      <c r="D15" s="64" t="s">
        <v>108</v>
      </c>
      <c r="E15" s="67" t="s">
        <v>335</v>
      </c>
      <c r="F15" s="51">
        <f>F14*(1-(C16/100))</f>
        <v>107.48023074035522</v>
      </c>
      <c r="G15" s="64" t="s">
        <v>113</v>
      </c>
      <c r="H15" s="64"/>
      <c r="I15" s="156" t="s">
        <v>321</v>
      </c>
      <c r="J15" s="156"/>
      <c r="K15" s="156"/>
      <c r="L15" s="156"/>
      <c r="M15" s="156"/>
      <c r="N15" s="65"/>
    </row>
    <row r="16" spans="1:14" ht="30" customHeight="1">
      <c r="B16" s="64" t="s">
        <v>146</v>
      </c>
      <c r="C16" s="50">
        <v>5</v>
      </c>
      <c r="D16" s="64" t="s">
        <v>109</v>
      </c>
      <c r="E16" s="70" t="s">
        <v>336</v>
      </c>
      <c r="F16" s="51">
        <f>C15*SQRT(2)</f>
        <v>169.70562748477141</v>
      </c>
      <c r="G16" s="64" t="s">
        <v>241</v>
      </c>
      <c r="H16" s="64"/>
      <c r="I16" s="156" t="s">
        <v>516</v>
      </c>
      <c r="J16" s="156"/>
      <c r="K16" s="156"/>
      <c r="L16" s="156"/>
      <c r="M16" s="156"/>
      <c r="N16" s="65"/>
    </row>
    <row r="17" spans="2:14" ht="51.75" customHeight="1">
      <c r="B17" s="71" t="s">
        <v>147</v>
      </c>
      <c r="C17" s="50">
        <v>10</v>
      </c>
      <c r="D17" s="64" t="s">
        <v>109</v>
      </c>
      <c r="E17" s="70" t="s">
        <v>373</v>
      </c>
      <c r="F17" s="51">
        <f>F16*(1+C17/100)</f>
        <v>186.67619023324858</v>
      </c>
      <c r="G17" s="64" t="s">
        <v>115</v>
      </c>
      <c r="H17" s="64"/>
      <c r="I17" s="156" t="s">
        <v>456</v>
      </c>
      <c r="J17" s="156"/>
      <c r="K17" s="156"/>
      <c r="L17" s="156"/>
      <c r="M17" s="156"/>
      <c r="N17" s="65"/>
    </row>
    <row r="18" spans="2:14" ht="24" customHeight="1">
      <c r="B18" s="72" t="s">
        <v>520</v>
      </c>
      <c r="C18" s="152">
        <v>80000</v>
      </c>
      <c r="D18" s="66" t="s">
        <v>112</v>
      </c>
      <c r="E18" s="73" t="s">
        <v>337</v>
      </c>
      <c r="F18" s="74">
        <f>1/C18</f>
        <v>1.2500000000000001E-5</v>
      </c>
      <c r="G18" s="37" t="s">
        <v>114</v>
      </c>
      <c r="I18" s="163" t="s">
        <v>517</v>
      </c>
      <c r="J18" s="156"/>
      <c r="K18" s="156"/>
      <c r="L18" s="156"/>
      <c r="M18" s="156"/>
      <c r="N18" s="65"/>
    </row>
    <row r="19" spans="2:14" ht="15.75">
      <c r="B19" s="64" t="s">
        <v>149</v>
      </c>
      <c r="C19" s="50">
        <v>12</v>
      </c>
      <c r="D19" s="64" t="s">
        <v>110</v>
      </c>
      <c r="I19" s="154" t="s">
        <v>326</v>
      </c>
      <c r="J19" s="154"/>
      <c r="K19" s="154"/>
      <c r="L19" s="154"/>
      <c r="M19" s="154"/>
      <c r="N19" s="75"/>
    </row>
    <row r="20" spans="2:14" ht="43.5" customHeight="1">
      <c r="B20" s="76" t="s">
        <v>238</v>
      </c>
      <c r="C20" s="50">
        <v>0.1</v>
      </c>
      <c r="D20" s="64" t="s">
        <v>111</v>
      </c>
      <c r="I20" s="156" t="s">
        <v>327</v>
      </c>
      <c r="J20" s="156"/>
      <c r="K20" s="156"/>
      <c r="L20" s="156"/>
      <c r="M20" s="156"/>
      <c r="N20" s="65"/>
    </row>
    <row r="21" spans="2:14" ht="44.25" customHeight="1">
      <c r="B21" s="64" t="s">
        <v>383</v>
      </c>
      <c r="C21" s="50">
        <v>28</v>
      </c>
      <c r="D21" s="64" t="s">
        <v>111</v>
      </c>
      <c r="I21" s="156" t="s">
        <v>374</v>
      </c>
      <c r="J21" s="156"/>
      <c r="K21" s="156"/>
      <c r="L21" s="156"/>
      <c r="M21" s="156"/>
      <c r="N21" s="65"/>
    </row>
    <row r="22" spans="2:14" ht="29.25" customHeight="1">
      <c r="B22" s="64" t="s">
        <v>73</v>
      </c>
      <c r="C22" s="50">
        <v>52</v>
      </c>
      <c r="D22" s="64" t="s">
        <v>107</v>
      </c>
      <c r="I22" s="156" t="s">
        <v>328</v>
      </c>
      <c r="J22" s="156"/>
      <c r="K22" s="156"/>
      <c r="L22" s="156"/>
      <c r="M22" s="156"/>
      <c r="N22" s="65"/>
    </row>
    <row r="23" spans="2:14" ht="32.25" customHeight="1">
      <c r="B23" s="77" t="s">
        <v>239</v>
      </c>
      <c r="C23" s="43">
        <v>0.6</v>
      </c>
      <c r="D23" s="37" t="s">
        <v>111</v>
      </c>
      <c r="I23" s="156" t="s">
        <v>350</v>
      </c>
      <c r="J23" s="156"/>
      <c r="K23" s="156"/>
      <c r="L23" s="156"/>
      <c r="M23" s="156"/>
      <c r="N23" s="65"/>
    </row>
    <row r="24" spans="2:14" ht="31.5" customHeight="1">
      <c r="B24" s="37" t="s">
        <v>153</v>
      </c>
      <c r="C24" s="41">
        <v>3000</v>
      </c>
      <c r="D24" s="37" t="s">
        <v>112</v>
      </c>
      <c r="I24" s="156" t="s">
        <v>329</v>
      </c>
      <c r="J24" s="156"/>
      <c r="K24" s="156"/>
      <c r="L24" s="156"/>
      <c r="M24" s="156"/>
      <c r="N24" s="65"/>
    </row>
    <row r="25" spans="2:14" ht="77.25" customHeight="1">
      <c r="B25" s="77" t="s">
        <v>7</v>
      </c>
      <c r="C25" s="43">
        <v>20</v>
      </c>
      <c r="D25" s="37" t="s">
        <v>111</v>
      </c>
      <c r="I25" s="156" t="s">
        <v>8</v>
      </c>
      <c r="J25" s="156"/>
      <c r="K25" s="156"/>
      <c r="L25" s="156"/>
      <c r="M25" s="156"/>
      <c r="N25" s="65"/>
    </row>
    <row r="26" spans="2:14" s="77" customFormat="1" ht="70.5" customHeight="1">
      <c r="B26" s="77" t="s">
        <v>155</v>
      </c>
      <c r="C26" s="40">
        <v>50</v>
      </c>
      <c r="D26" s="77" t="s">
        <v>109</v>
      </c>
      <c r="I26" s="156" t="s">
        <v>351</v>
      </c>
      <c r="J26" s="156"/>
      <c r="K26" s="156"/>
      <c r="L26" s="156"/>
      <c r="M26" s="156"/>
      <c r="N26" s="65"/>
    </row>
    <row r="27" spans="2:14">
      <c r="C27" s="38"/>
      <c r="I27" s="155"/>
      <c r="J27" s="155"/>
      <c r="K27" s="155"/>
      <c r="L27" s="155"/>
      <c r="M27" s="155"/>
      <c r="N27" s="59"/>
    </row>
    <row r="28" spans="2:14">
      <c r="I28" s="155"/>
      <c r="J28" s="155"/>
      <c r="K28" s="155"/>
      <c r="L28" s="155"/>
      <c r="M28" s="155"/>
      <c r="N28" s="59"/>
    </row>
    <row r="29" spans="2:14" ht="30.75" customHeight="1">
      <c r="B29" s="78" t="s">
        <v>91</v>
      </c>
      <c r="I29" s="166" t="s">
        <v>331</v>
      </c>
      <c r="J29" s="166"/>
      <c r="K29" s="166"/>
      <c r="L29" s="166"/>
      <c r="M29" s="166"/>
      <c r="N29" s="79"/>
    </row>
    <row r="30" spans="2:14" ht="30.75" customHeight="1">
      <c r="B30" s="37" t="s">
        <v>128</v>
      </c>
      <c r="C30" s="43">
        <v>600</v>
      </c>
      <c r="D30" s="37" t="s">
        <v>111</v>
      </c>
      <c r="I30" s="156" t="s">
        <v>330</v>
      </c>
      <c r="J30" s="156"/>
      <c r="K30" s="156"/>
      <c r="L30" s="156"/>
      <c r="M30" s="156"/>
      <c r="N30" s="65"/>
    </row>
    <row r="31" spans="2:14" ht="31.5" customHeight="1">
      <c r="B31" s="37" t="s">
        <v>126</v>
      </c>
      <c r="C31" s="43">
        <v>20</v>
      </c>
      <c r="D31" s="37" t="s">
        <v>109</v>
      </c>
      <c r="I31" s="156" t="s">
        <v>332</v>
      </c>
      <c r="J31" s="156"/>
      <c r="K31" s="156"/>
      <c r="L31" s="156"/>
      <c r="M31" s="156"/>
      <c r="N31" s="65"/>
    </row>
    <row r="32" spans="2:14" ht="15.75">
      <c r="B32" s="73" t="s">
        <v>339</v>
      </c>
      <c r="C32" s="33">
        <f>C30*(1-(C31/100))</f>
        <v>480</v>
      </c>
      <c r="D32" s="37" t="s">
        <v>111</v>
      </c>
      <c r="I32" s="154" t="s">
        <v>342</v>
      </c>
      <c r="J32" s="154"/>
      <c r="K32" s="154"/>
      <c r="L32" s="154"/>
      <c r="M32" s="154"/>
      <c r="N32" s="75"/>
    </row>
    <row r="33" spans="1:14" ht="54" customHeight="1">
      <c r="B33" s="77" t="s">
        <v>271</v>
      </c>
      <c r="C33" s="52">
        <v>1.4000000000000001E-10</v>
      </c>
      <c r="D33" s="59" t="s">
        <v>116</v>
      </c>
      <c r="E33" s="37" t="s">
        <v>130</v>
      </c>
      <c r="F33" s="43">
        <v>25</v>
      </c>
      <c r="G33" s="37" t="s">
        <v>111</v>
      </c>
      <c r="I33" s="156" t="s">
        <v>437</v>
      </c>
      <c r="J33" s="156"/>
      <c r="K33" s="156"/>
      <c r="L33" s="156"/>
      <c r="M33" s="156"/>
      <c r="N33" s="65"/>
    </row>
    <row r="34" spans="1:14">
      <c r="B34" s="73" t="s">
        <v>340</v>
      </c>
      <c r="C34" s="44">
        <f>C33*SQRT(F33)</f>
        <v>7.0000000000000006E-10</v>
      </c>
      <c r="D34" s="59" t="s">
        <v>407</v>
      </c>
      <c r="I34" s="155"/>
      <c r="J34" s="155"/>
      <c r="K34" s="155"/>
      <c r="L34" s="155"/>
      <c r="M34" s="155"/>
      <c r="N34" s="59"/>
    </row>
    <row r="35" spans="1:14" ht="27.75" customHeight="1">
      <c r="B35" s="37" t="s">
        <v>248</v>
      </c>
      <c r="C35" s="41">
        <v>7.5E-11</v>
      </c>
      <c r="D35" s="37" t="s">
        <v>116</v>
      </c>
      <c r="I35" s="156" t="s">
        <v>406</v>
      </c>
      <c r="J35" s="156"/>
      <c r="K35" s="156"/>
      <c r="L35" s="156"/>
      <c r="M35" s="156"/>
      <c r="N35" s="65"/>
    </row>
    <row r="36" spans="1:14" ht="29.25" customHeight="1">
      <c r="B36" s="37" t="s">
        <v>438</v>
      </c>
      <c r="C36" s="41">
        <v>2.8999999999999998E-10</v>
      </c>
      <c r="D36" s="37" t="s">
        <v>116</v>
      </c>
      <c r="I36" s="156" t="s">
        <v>439</v>
      </c>
      <c r="J36" s="156"/>
      <c r="K36" s="156"/>
      <c r="L36" s="156"/>
      <c r="M36" s="156"/>
      <c r="N36" s="59"/>
    </row>
    <row r="37" spans="1:14" ht="33" customHeight="1">
      <c r="B37" s="37" t="s">
        <v>2</v>
      </c>
      <c r="C37" s="54">
        <v>1.9000000000000001E-8</v>
      </c>
      <c r="D37" s="37" t="s">
        <v>3</v>
      </c>
      <c r="I37" s="156" t="s">
        <v>4</v>
      </c>
      <c r="J37" s="167"/>
      <c r="K37" s="167"/>
      <c r="L37" s="167"/>
      <c r="M37" s="167"/>
      <c r="N37" s="59"/>
    </row>
    <row r="38" spans="1:14">
      <c r="B38" s="78" t="s">
        <v>20</v>
      </c>
      <c r="C38" s="33"/>
      <c r="I38" s="155"/>
      <c r="J38" s="155"/>
      <c r="K38" s="155"/>
      <c r="L38" s="155"/>
      <c r="M38" s="155"/>
      <c r="N38" s="59"/>
    </row>
    <row r="39" spans="1:14" ht="51.75" customHeight="1">
      <c r="A39" s="77"/>
      <c r="B39" s="80" t="s">
        <v>21</v>
      </c>
      <c r="C39" s="40">
        <v>2.5</v>
      </c>
      <c r="D39" s="77" t="s">
        <v>117</v>
      </c>
      <c r="E39" s="81" t="s">
        <v>341</v>
      </c>
      <c r="F39" s="82">
        <f>C39/100</f>
        <v>2.5000000000000001E-2</v>
      </c>
      <c r="G39" s="77"/>
      <c r="H39" s="77"/>
      <c r="I39" s="156" t="s">
        <v>343</v>
      </c>
      <c r="J39" s="156"/>
      <c r="K39" s="156"/>
      <c r="L39" s="156"/>
      <c r="M39" s="156"/>
      <c r="N39" s="65"/>
    </row>
    <row r="40" spans="1:14">
      <c r="I40" s="155"/>
      <c r="J40" s="155"/>
      <c r="K40" s="155"/>
      <c r="L40" s="155"/>
      <c r="M40" s="155"/>
      <c r="N40" s="59"/>
    </row>
    <row r="41" spans="1:14">
      <c r="I41" s="155"/>
      <c r="J41" s="155"/>
      <c r="K41" s="155"/>
      <c r="L41" s="155"/>
      <c r="M41" s="155"/>
      <c r="N41" s="59"/>
    </row>
    <row r="42" spans="1:14">
      <c r="B42" s="78" t="s">
        <v>23</v>
      </c>
      <c r="I42" s="83"/>
      <c r="J42" s="83"/>
      <c r="K42" s="83"/>
      <c r="L42" s="83"/>
      <c r="M42" s="83"/>
      <c r="N42" s="59"/>
    </row>
    <row r="43" spans="1:14" ht="28.5" customHeight="1">
      <c r="B43" s="37" t="s">
        <v>218</v>
      </c>
      <c r="C43" s="42">
        <v>0.7</v>
      </c>
      <c r="D43" s="37" t="s">
        <v>111</v>
      </c>
      <c r="I43" s="156" t="s">
        <v>344</v>
      </c>
      <c r="J43" s="156"/>
      <c r="K43" s="156"/>
      <c r="L43" s="156"/>
      <c r="M43" s="156"/>
      <c r="N43" s="65"/>
    </row>
    <row r="44" spans="1:14">
      <c r="C44" s="38"/>
      <c r="I44" s="155"/>
      <c r="J44" s="155"/>
      <c r="K44" s="155"/>
      <c r="L44" s="155"/>
      <c r="M44" s="155"/>
      <c r="N44" s="59"/>
    </row>
    <row r="45" spans="1:14">
      <c r="C45" s="38"/>
      <c r="I45" s="155"/>
      <c r="J45" s="155"/>
      <c r="K45" s="155"/>
      <c r="L45" s="155"/>
      <c r="M45" s="155"/>
      <c r="N45" s="59"/>
    </row>
    <row r="46" spans="1:14" ht="12.75" customHeight="1">
      <c r="B46" s="84" t="s">
        <v>67</v>
      </c>
      <c r="C46" s="85"/>
      <c r="D46" s="86"/>
      <c r="E46" s="86"/>
      <c r="F46" s="86"/>
      <c r="G46" s="162" t="s">
        <v>124</v>
      </c>
      <c r="I46" s="156" t="s">
        <v>345</v>
      </c>
      <c r="J46" s="156"/>
      <c r="K46" s="156"/>
      <c r="L46" s="156"/>
      <c r="M46" s="156"/>
      <c r="N46" s="65"/>
    </row>
    <row r="47" spans="1:14" ht="15.75">
      <c r="B47" s="86" t="s">
        <v>197</v>
      </c>
      <c r="C47" s="108">
        <v>4.87</v>
      </c>
      <c r="D47" s="86" t="s">
        <v>290</v>
      </c>
      <c r="E47" s="86"/>
      <c r="F47" s="86"/>
      <c r="G47" s="162"/>
      <c r="I47" s="156"/>
      <c r="J47" s="156"/>
      <c r="K47" s="156"/>
      <c r="L47" s="156"/>
      <c r="M47" s="156"/>
      <c r="N47" s="65"/>
    </row>
    <row r="48" spans="1:14" ht="15.75">
      <c r="B48" s="86" t="s">
        <v>196</v>
      </c>
      <c r="C48" s="109">
        <v>20000</v>
      </c>
      <c r="D48" s="87" t="s">
        <v>289</v>
      </c>
      <c r="E48" s="86"/>
      <c r="F48" s="86"/>
      <c r="G48" s="162"/>
      <c r="I48" s="156"/>
      <c r="J48" s="156"/>
      <c r="K48" s="156"/>
      <c r="L48" s="156"/>
      <c r="M48" s="156"/>
      <c r="N48" s="65"/>
    </row>
    <row r="49" spans="1:14" ht="15.75" customHeight="1">
      <c r="B49" s="88" t="s">
        <v>272</v>
      </c>
      <c r="C49" s="108">
        <v>1.4</v>
      </c>
      <c r="D49" s="86" t="s">
        <v>111</v>
      </c>
      <c r="E49" s="86"/>
      <c r="F49" s="86"/>
      <c r="G49" s="162"/>
      <c r="I49" s="156"/>
      <c r="J49" s="156"/>
      <c r="K49" s="156"/>
      <c r="L49" s="156"/>
      <c r="M49" s="156"/>
      <c r="N49" s="65"/>
    </row>
    <row r="50" spans="1:14" ht="15.75">
      <c r="B50" s="89" t="s">
        <v>276</v>
      </c>
      <c r="C50" s="108">
        <v>2.5</v>
      </c>
      <c r="D50" s="86" t="s">
        <v>291</v>
      </c>
      <c r="E50" s="86"/>
      <c r="F50" s="86"/>
      <c r="G50" s="162"/>
      <c r="I50" s="156"/>
      <c r="J50" s="156"/>
      <c r="K50" s="156"/>
      <c r="L50" s="156"/>
      <c r="M50" s="156"/>
      <c r="N50" s="65"/>
    </row>
    <row r="51" spans="1:14" ht="15.75" customHeight="1">
      <c r="A51" s="59"/>
      <c r="B51" s="89" t="s">
        <v>275</v>
      </c>
      <c r="C51" s="108">
        <v>0.4</v>
      </c>
      <c r="D51" s="86" t="s">
        <v>277</v>
      </c>
      <c r="E51" s="86"/>
      <c r="F51" s="86"/>
      <c r="G51" s="162"/>
      <c r="I51" s="156"/>
      <c r="J51" s="156"/>
      <c r="K51" s="156"/>
      <c r="L51" s="156"/>
      <c r="M51" s="156"/>
      <c r="N51" s="65"/>
    </row>
    <row r="52" spans="1:14" ht="15.75">
      <c r="B52" s="89" t="s">
        <v>273</v>
      </c>
      <c r="C52" s="108">
        <v>1.2</v>
      </c>
      <c r="D52" s="86" t="s">
        <v>274</v>
      </c>
      <c r="E52" s="86"/>
      <c r="F52" s="86"/>
      <c r="G52" s="162"/>
      <c r="I52" s="156"/>
      <c r="J52" s="156"/>
      <c r="K52" s="156"/>
      <c r="L52" s="156"/>
      <c r="M52" s="156"/>
      <c r="N52" s="65"/>
    </row>
    <row r="53" spans="1:14" ht="15.75">
      <c r="B53" s="88" t="s">
        <v>279</v>
      </c>
      <c r="C53" s="108">
        <f>C52-C51</f>
        <v>0.79999999999999993</v>
      </c>
      <c r="D53" s="86" t="s">
        <v>278</v>
      </c>
      <c r="E53" s="86"/>
      <c r="F53" s="86"/>
      <c r="G53" s="162"/>
      <c r="I53" s="156"/>
      <c r="J53" s="156"/>
      <c r="K53" s="156"/>
      <c r="L53" s="156"/>
      <c r="M53" s="156"/>
      <c r="N53" s="65"/>
    </row>
    <row r="54" spans="1:14" ht="15.75">
      <c r="B54" s="89" t="s">
        <v>195</v>
      </c>
      <c r="C54" s="108">
        <f>C52*C50</f>
        <v>3</v>
      </c>
      <c r="D54" s="86" t="s">
        <v>280</v>
      </c>
      <c r="E54" s="86"/>
      <c r="F54" s="86"/>
      <c r="G54" s="162"/>
      <c r="I54" s="156"/>
      <c r="J54" s="156"/>
      <c r="K54" s="156"/>
      <c r="L54" s="156"/>
      <c r="M54" s="156"/>
      <c r="N54" s="65"/>
    </row>
    <row r="55" spans="1:14" ht="15.75" customHeight="1">
      <c r="B55" s="89" t="s">
        <v>281</v>
      </c>
      <c r="C55" s="108">
        <v>2</v>
      </c>
      <c r="D55" s="86" t="s">
        <v>111</v>
      </c>
      <c r="E55" s="86"/>
      <c r="F55" s="86"/>
      <c r="G55" s="162"/>
      <c r="I55" s="156"/>
      <c r="J55" s="156"/>
      <c r="K55" s="156"/>
      <c r="L55" s="156"/>
      <c r="M55" s="156"/>
      <c r="N55" s="65"/>
    </row>
    <row r="56" spans="1:14" ht="15.75">
      <c r="B56" s="89" t="s">
        <v>282</v>
      </c>
      <c r="C56" s="109">
        <v>130000</v>
      </c>
      <c r="D56" s="86" t="s">
        <v>112</v>
      </c>
      <c r="E56" s="86"/>
      <c r="F56" s="86"/>
      <c r="G56" s="162"/>
      <c r="I56" s="156"/>
      <c r="J56" s="156"/>
      <c r="K56" s="156"/>
      <c r="L56" s="156"/>
      <c r="M56" s="156"/>
      <c r="N56" s="65"/>
    </row>
    <row r="57" spans="1:14" ht="15.75">
      <c r="B57" s="89" t="s">
        <v>283</v>
      </c>
      <c r="C57" s="109">
        <v>40000</v>
      </c>
      <c r="D57" s="86" t="s">
        <v>112</v>
      </c>
      <c r="E57" s="86"/>
      <c r="F57" s="86"/>
      <c r="G57" s="162"/>
      <c r="I57" s="156"/>
      <c r="J57" s="156"/>
      <c r="K57" s="156"/>
      <c r="L57" s="156"/>
      <c r="M57" s="156"/>
      <c r="N57" s="65"/>
    </row>
    <row r="58" spans="1:14" ht="15.75">
      <c r="B58" s="86" t="s">
        <v>284</v>
      </c>
      <c r="C58" s="109">
        <v>4.4999999999999999E-4</v>
      </c>
      <c r="D58" s="86" t="s">
        <v>118</v>
      </c>
      <c r="E58" s="86"/>
      <c r="F58" s="86"/>
      <c r="G58" s="162"/>
      <c r="I58" s="156"/>
      <c r="J58" s="156"/>
      <c r="K58" s="156"/>
      <c r="L58" s="156"/>
      <c r="M58" s="156"/>
      <c r="N58" s="65"/>
    </row>
    <row r="59" spans="1:14" ht="15.75">
      <c r="B59" s="86" t="s">
        <v>285</v>
      </c>
      <c r="C59" s="108">
        <v>-2.5000000000000001E-2</v>
      </c>
      <c r="D59" s="86" t="s">
        <v>287</v>
      </c>
      <c r="E59" s="86"/>
      <c r="F59" s="86"/>
      <c r="G59" s="162"/>
      <c r="I59" s="156"/>
      <c r="J59" s="156"/>
      <c r="K59" s="156"/>
      <c r="L59" s="156"/>
      <c r="M59" s="156"/>
      <c r="N59" s="65"/>
    </row>
    <row r="60" spans="1:14" ht="15.75">
      <c r="B60" s="86" t="s">
        <v>288</v>
      </c>
      <c r="C60" s="108">
        <v>3.75</v>
      </c>
      <c r="D60" s="86" t="s">
        <v>119</v>
      </c>
      <c r="E60" s="86"/>
      <c r="F60" s="86"/>
      <c r="G60" s="162"/>
      <c r="I60" s="156"/>
      <c r="J60" s="156"/>
      <c r="K60" s="156"/>
      <c r="L60" s="156"/>
      <c r="M60" s="156"/>
      <c r="N60" s="65"/>
    </row>
    <row r="61" spans="1:14" ht="28.5" customHeight="1">
      <c r="B61" s="88" t="s">
        <v>286</v>
      </c>
      <c r="C61" s="108">
        <v>0.5</v>
      </c>
      <c r="D61" s="86" t="s">
        <v>268</v>
      </c>
      <c r="E61" s="86"/>
      <c r="F61" s="86"/>
      <c r="G61" s="162"/>
      <c r="I61" s="156"/>
      <c r="J61" s="156"/>
      <c r="K61" s="156"/>
      <c r="L61" s="156"/>
      <c r="M61" s="156"/>
      <c r="N61" s="65"/>
    </row>
    <row r="62" spans="1:14" ht="15.75">
      <c r="B62" s="89" t="s">
        <v>292</v>
      </c>
      <c r="C62" s="108">
        <f>(C55/C50)-C51</f>
        <v>0.4</v>
      </c>
      <c r="D62" s="86" t="s">
        <v>293</v>
      </c>
      <c r="E62" s="86"/>
      <c r="F62" s="86"/>
      <c r="G62" s="162"/>
      <c r="I62" s="156"/>
      <c r="J62" s="156"/>
      <c r="K62" s="156"/>
      <c r="L62" s="156"/>
      <c r="M62" s="156"/>
      <c r="N62" s="65"/>
    </row>
    <row r="63" spans="1:14" ht="15.75" customHeight="1">
      <c r="B63" s="89" t="s">
        <v>194</v>
      </c>
      <c r="C63" s="108">
        <f>C62/C53</f>
        <v>0.50000000000000011</v>
      </c>
      <c r="D63" s="86"/>
      <c r="E63" s="86"/>
      <c r="F63" s="86"/>
      <c r="G63" s="162"/>
      <c r="I63" s="156"/>
      <c r="J63" s="156"/>
      <c r="K63" s="156"/>
      <c r="L63" s="156"/>
      <c r="M63" s="156"/>
      <c r="N63" s="65"/>
    </row>
    <row r="64" spans="1:14" ht="15.75">
      <c r="B64" s="89" t="s">
        <v>294</v>
      </c>
      <c r="C64" s="109">
        <f>((1/C56)-(1/C57))/(C55-C49)</f>
        <v>-2.8846153846153845E-5</v>
      </c>
      <c r="D64" s="86"/>
      <c r="E64" s="86"/>
      <c r="F64" s="86"/>
      <c r="G64" s="162"/>
      <c r="I64" s="156"/>
      <c r="J64" s="156"/>
      <c r="K64" s="156"/>
      <c r="L64" s="156"/>
      <c r="M64" s="156"/>
      <c r="N64" s="65"/>
    </row>
    <row r="65" spans="2:14" ht="15.75" customHeight="1">
      <c r="B65" s="89" t="s">
        <v>295</v>
      </c>
      <c r="C65" s="109">
        <f>((C55/C57)-(C49/C56))/(C55-C49)</f>
        <v>6.5384615384615373E-5</v>
      </c>
      <c r="D65" s="86" t="s">
        <v>111</v>
      </c>
      <c r="E65" s="86"/>
      <c r="F65" s="86"/>
      <c r="G65" s="162"/>
      <c r="I65" s="156"/>
      <c r="J65" s="156"/>
      <c r="K65" s="156"/>
      <c r="L65" s="156"/>
      <c r="M65" s="156"/>
      <c r="N65" s="65"/>
    </row>
    <row r="66" spans="2:14" ht="15.75">
      <c r="B66" s="89" t="s">
        <v>296</v>
      </c>
      <c r="C66" s="110">
        <v>6.0000000000000002E-6</v>
      </c>
      <c r="D66" s="86" t="s">
        <v>297</v>
      </c>
      <c r="E66" s="86"/>
      <c r="F66" s="86"/>
      <c r="G66" s="162"/>
      <c r="I66" s="156"/>
      <c r="J66" s="156"/>
      <c r="K66" s="156"/>
      <c r="L66" s="156"/>
      <c r="M66" s="156"/>
      <c r="N66" s="65"/>
    </row>
    <row r="67" spans="2:14">
      <c r="B67" s="80"/>
      <c r="C67" s="39"/>
      <c r="I67" s="155"/>
      <c r="J67" s="155"/>
      <c r="K67" s="155"/>
      <c r="L67" s="155"/>
      <c r="M67" s="155"/>
      <c r="N67" s="59"/>
    </row>
    <row r="68" spans="2:14">
      <c r="I68" s="155"/>
      <c r="J68" s="155"/>
      <c r="K68" s="155"/>
      <c r="L68" s="155"/>
      <c r="M68" s="155"/>
      <c r="N68" s="59"/>
    </row>
    <row r="69" spans="2:14">
      <c r="I69" s="155"/>
      <c r="J69" s="155"/>
      <c r="K69" s="155"/>
      <c r="L69" s="155"/>
      <c r="M69" s="155"/>
      <c r="N69" s="59"/>
    </row>
    <row r="70" spans="2:14" ht="30.75" customHeight="1">
      <c r="B70" s="78" t="s">
        <v>24</v>
      </c>
      <c r="I70" s="167" t="s">
        <v>451</v>
      </c>
      <c r="J70" s="167"/>
      <c r="K70" s="167"/>
      <c r="L70" s="167"/>
      <c r="M70" s="167"/>
      <c r="N70" s="90"/>
    </row>
    <row r="71" spans="2:14" ht="15.75">
      <c r="B71" s="37" t="s">
        <v>347</v>
      </c>
      <c r="C71" s="35">
        <f>(C32-F16)/(1+C26/100)</f>
        <v>206.86291501015239</v>
      </c>
      <c r="D71" s="37" t="s">
        <v>111</v>
      </c>
      <c r="I71" s="154" t="s">
        <v>346</v>
      </c>
      <c r="J71" s="154"/>
      <c r="K71" s="154"/>
      <c r="L71" s="154"/>
      <c r="M71" s="154"/>
      <c r="N71" s="75"/>
    </row>
    <row r="72" spans="2:14" ht="19.5" customHeight="1">
      <c r="B72" s="37" t="s">
        <v>446</v>
      </c>
      <c r="C72" s="35">
        <f>(C26/100)*C71</f>
        <v>103.4314575050762</v>
      </c>
      <c r="D72" s="37" t="s">
        <v>111</v>
      </c>
      <c r="I72" s="154" t="s">
        <v>447</v>
      </c>
      <c r="J72" s="154"/>
      <c r="K72" s="154"/>
      <c r="L72" s="154"/>
      <c r="M72" s="154"/>
      <c r="N72" s="75"/>
    </row>
    <row r="73" spans="2:14" ht="28.5" customHeight="1">
      <c r="B73" s="77" t="s">
        <v>261</v>
      </c>
      <c r="C73" s="33" t="b">
        <f>IF(C71&gt;F15,TRUE,FALSE)</f>
        <v>1</v>
      </c>
      <c r="I73" s="156" t="s">
        <v>353</v>
      </c>
      <c r="J73" s="156"/>
      <c r="K73" s="156"/>
      <c r="L73" s="156"/>
      <c r="M73" s="156"/>
      <c r="N73" s="65"/>
    </row>
    <row r="74" spans="2:14" ht="18" customHeight="1">
      <c r="B74" s="37" t="s">
        <v>260</v>
      </c>
      <c r="C74" s="33" t="b">
        <f>IF(C71&gt;F16,TRUE,FALSE)</f>
        <v>1</v>
      </c>
      <c r="E74" s="37" t="s">
        <v>106</v>
      </c>
      <c r="I74" s="156" t="s">
        <v>348</v>
      </c>
      <c r="J74" s="156"/>
      <c r="K74" s="156"/>
      <c r="L74" s="156"/>
      <c r="M74" s="156"/>
      <c r="N74" s="65"/>
    </row>
    <row r="75" spans="2:14" ht="15.75">
      <c r="B75" s="37" t="s">
        <v>259</v>
      </c>
      <c r="C75" s="36">
        <f>IF(C73=TRUE, C34*SQRT(F15+C71)/(2*C71),C34*(SQRT(F15-C71)-SQRT(F15+C71))/(-2*C71))</f>
        <v>2.9997661600245408E-11</v>
      </c>
      <c r="D75" s="37" t="s">
        <v>116</v>
      </c>
      <c r="I75" s="160" t="s">
        <v>518</v>
      </c>
      <c r="J75" s="154"/>
      <c r="K75" s="154"/>
      <c r="L75" s="154"/>
      <c r="M75" s="154"/>
      <c r="N75" s="75"/>
    </row>
    <row r="76" spans="2:14" ht="15.75">
      <c r="B76" s="77" t="s">
        <v>258</v>
      </c>
      <c r="C76" s="36">
        <f>C75+C35</f>
        <v>1.0499766160024541E-10</v>
      </c>
      <c r="D76" s="37" t="s">
        <v>116</v>
      </c>
      <c r="I76" s="154"/>
      <c r="J76" s="154"/>
      <c r="K76" s="154"/>
      <c r="L76" s="154"/>
      <c r="M76" s="154"/>
      <c r="N76" s="75"/>
    </row>
    <row r="77" spans="2:14" ht="15.75">
      <c r="B77" s="37" t="s">
        <v>257</v>
      </c>
      <c r="C77" s="36">
        <f>IF(C74=TRUE,C34*SQRT(F16+C71)/(2*C71),C34*(SQRT(F16-C71)-SQRT(F16+C71))/(-2*C71))</f>
        <v>3.2832762322071414E-11</v>
      </c>
      <c r="D77" s="37" t="s">
        <v>116</v>
      </c>
      <c r="I77" s="154"/>
      <c r="J77" s="154"/>
      <c r="K77" s="154"/>
      <c r="L77" s="154"/>
      <c r="M77" s="154"/>
      <c r="N77" s="75"/>
    </row>
    <row r="78" spans="2:14" ht="15.75">
      <c r="B78" s="77" t="s">
        <v>256</v>
      </c>
      <c r="C78" s="36">
        <f>C77+C35</f>
        <v>1.0783276232207141E-10</v>
      </c>
      <c r="D78" s="37" t="s">
        <v>116</v>
      </c>
      <c r="I78" s="154"/>
      <c r="J78" s="154"/>
      <c r="K78" s="154"/>
      <c r="L78" s="154"/>
      <c r="M78" s="154"/>
      <c r="N78" s="75"/>
    </row>
    <row r="79" spans="2:14" ht="15.75">
      <c r="B79" s="37" t="s">
        <v>255</v>
      </c>
      <c r="C79" s="35">
        <f>(C71^2)/C13</f>
        <v>658.34254779226967</v>
      </c>
      <c r="D79" s="91" t="s">
        <v>107</v>
      </c>
      <c r="I79" s="154" t="s">
        <v>367</v>
      </c>
      <c r="J79" s="154"/>
      <c r="K79" s="154"/>
      <c r="L79" s="154"/>
      <c r="M79" s="154"/>
      <c r="N79" s="75"/>
    </row>
    <row r="80" spans="2:14" ht="15.75">
      <c r="B80" s="77" t="s">
        <v>254</v>
      </c>
      <c r="C80" s="36">
        <f>(1/F15)*SQRT(2*F18*C13)</f>
        <v>3.7505770562471641E-4</v>
      </c>
      <c r="D80" s="37" t="s">
        <v>114</v>
      </c>
      <c r="I80" s="154" t="s">
        <v>361</v>
      </c>
      <c r="J80" s="154"/>
      <c r="K80" s="154"/>
      <c r="L80" s="154"/>
      <c r="M80" s="154"/>
      <c r="N80" s="75"/>
    </row>
    <row r="81" spans="2:29" ht="15.75">
      <c r="B81" s="37" t="s">
        <v>253</v>
      </c>
      <c r="C81" s="36">
        <f>SQRT(F39*C78)+SQRT(1/(2*C13*F18))*C78*(F15+C71)</f>
        <v>2.4827633807729162E-6</v>
      </c>
      <c r="D81" s="37" t="s">
        <v>114</v>
      </c>
      <c r="I81" s="154"/>
      <c r="J81" s="154"/>
      <c r="K81" s="154"/>
      <c r="L81" s="154"/>
      <c r="M81" s="154"/>
      <c r="N81" s="75"/>
    </row>
    <row r="82" spans="2:29" ht="15.75">
      <c r="B82" s="77" t="s">
        <v>298</v>
      </c>
      <c r="C82" s="36">
        <f>(1/C71)*SQRT(2*F18*C13)</f>
        <v>1.9486957698297135E-4</v>
      </c>
      <c r="D82" s="37" t="s">
        <v>114</v>
      </c>
      <c r="I82" s="154"/>
      <c r="J82" s="154"/>
      <c r="K82" s="154"/>
      <c r="L82" s="154"/>
      <c r="M82" s="154"/>
      <c r="N82" s="75"/>
    </row>
    <row r="83" spans="2:29" ht="15.75">
      <c r="B83" s="37" t="s">
        <v>252</v>
      </c>
      <c r="C83" s="36">
        <f>IF(C74=TRUE,SQRT(C78)*ACOS(F15/C71),PI()*SQRT(C78))</f>
        <v>1.0638109815719068E-5</v>
      </c>
      <c r="D83" s="37" t="s">
        <v>114</v>
      </c>
      <c r="I83" s="154"/>
      <c r="J83" s="154"/>
      <c r="K83" s="154"/>
      <c r="L83" s="154"/>
      <c r="M83" s="154"/>
      <c r="N83" s="75"/>
    </row>
    <row r="84" spans="2:29" ht="34.5" customHeight="1">
      <c r="B84" s="64" t="s">
        <v>250</v>
      </c>
      <c r="C84" s="51">
        <f>C71/(C19+C43)</f>
        <v>16.288418504736409</v>
      </c>
      <c r="D84" s="64" t="s">
        <v>262</v>
      </c>
      <c r="E84" s="64"/>
      <c r="F84" s="92"/>
      <c r="G84" s="92"/>
      <c r="I84" s="156" t="s">
        <v>354</v>
      </c>
      <c r="J84" s="156"/>
      <c r="K84" s="156"/>
      <c r="L84" s="156"/>
      <c r="M84" s="156"/>
      <c r="N84" s="65"/>
    </row>
    <row r="85" spans="2:29" ht="31.5" customHeight="1">
      <c r="B85" s="64" t="s">
        <v>251</v>
      </c>
      <c r="C85" s="51">
        <f>C84*(C19/C25)</f>
        <v>9.7730511028418459</v>
      </c>
      <c r="D85" s="64" t="s">
        <v>304</v>
      </c>
      <c r="E85" s="64"/>
      <c r="F85" s="92"/>
      <c r="G85" s="92"/>
      <c r="I85" s="156" t="s">
        <v>355</v>
      </c>
      <c r="J85" s="156"/>
      <c r="K85" s="156"/>
      <c r="L85" s="156"/>
      <c r="M85" s="156"/>
      <c r="N85" s="65"/>
    </row>
    <row r="86" spans="2:29" ht="30.75" customHeight="1">
      <c r="B86" s="63" t="s">
        <v>519</v>
      </c>
      <c r="C86" s="53">
        <f>(F18/(C80+C81+C82+C83))^2</f>
        <v>4.5963297045675708E-4</v>
      </c>
      <c r="D86" s="64" t="s">
        <v>120</v>
      </c>
      <c r="E86" s="64"/>
      <c r="F86" s="92"/>
      <c r="G86" s="92"/>
      <c r="I86" s="156" t="s">
        <v>356</v>
      </c>
      <c r="J86" s="156"/>
      <c r="K86" s="156"/>
      <c r="L86" s="156"/>
      <c r="M86" s="156"/>
      <c r="N86" s="65"/>
    </row>
    <row r="87" spans="2:29" ht="28.5" customHeight="1">
      <c r="B87" s="64" t="s">
        <v>415</v>
      </c>
      <c r="C87" s="53">
        <f>F39*C86</f>
        <v>1.1490824261418927E-5</v>
      </c>
      <c r="D87" s="64" t="s">
        <v>120</v>
      </c>
      <c r="E87" s="64"/>
      <c r="F87" s="92"/>
      <c r="G87" s="92"/>
      <c r="I87" s="156" t="s">
        <v>416</v>
      </c>
      <c r="J87" s="156"/>
      <c r="K87" s="156"/>
      <c r="L87" s="156"/>
      <c r="M87" s="156"/>
      <c r="N87" s="65"/>
    </row>
    <row r="88" spans="2:29">
      <c r="B88" s="37" t="s">
        <v>37</v>
      </c>
      <c r="C88" s="36">
        <f>C86+C87</f>
        <v>4.7112379471817603E-4</v>
      </c>
      <c r="D88" s="37" t="s">
        <v>120</v>
      </c>
      <c r="I88" s="155"/>
      <c r="J88" s="155"/>
      <c r="K88" s="155"/>
      <c r="L88" s="155"/>
      <c r="M88" s="155"/>
      <c r="N88" s="59"/>
    </row>
    <row r="89" spans="2:29" ht="15.75">
      <c r="B89" s="37" t="s">
        <v>249</v>
      </c>
      <c r="C89" s="35">
        <f>((C25/C19)*(C43+C21))/C60</f>
        <v>12.755555555555556</v>
      </c>
      <c r="I89" s="155"/>
      <c r="J89" s="155"/>
      <c r="K89" s="155"/>
      <c r="L89" s="155"/>
      <c r="M89" s="155"/>
      <c r="N89" s="59"/>
    </row>
    <row r="90" spans="2:29" ht="31.5" customHeight="1">
      <c r="B90" s="37" t="s">
        <v>132</v>
      </c>
      <c r="C90" s="36">
        <f>(C59*C89/C58)-(F17/C58)*(-1/C85)</f>
        <v>41738.284161758245</v>
      </c>
      <c r="D90" s="91" t="s">
        <v>107</v>
      </c>
      <c r="I90" s="156" t="s">
        <v>419</v>
      </c>
      <c r="J90" s="156"/>
      <c r="K90" s="156"/>
      <c r="L90" s="156"/>
      <c r="M90" s="156"/>
      <c r="N90" s="65"/>
    </row>
    <row r="91" spans="2:29" ht="28.5" customHeight="1">
      <c r="B91" s="37" t="s">
        <v>133</v>
      </c>
      <c r="C91" s="36">
        <f>(C90/(C89-1))</f>
        <v>3550.515665934066</v>
      </c>
      <c r="D91" s="91" t="s">
        <v>107</v>
      </c>
      <c r="I91" s="156" t="s">
        <v>420</v>
      </c>
      <c r="J91" s="156"/>
      <c r="K91" s="156"/>
      <c r="L91" s="156"/>
      <c r="M91" s="156"/>
      <c r="N91" s="65"/>
    </row>
    <row r="92" spans="2:29" s="77" customFormat="1" ht="12.75" customHeight="1">
      <c r="AA92" s="93"/>
    </row>
    <row r="93" spans="2:29" s="77" customFormat="1" ht="12.75" customHeight="1">
      <c r="AA93" s="93"/>
    </row>
    <row r="94" spans="2:29" ht="25.5" customHeight="1">
      <c r="B94" s="94" t="s">
        <v>247</v>
      </c>
      <c r="C94" s="33"/>
      <c r="H94" s="64"/>
    </row>
    <row r="95" spans="2:29" ht="116.25">
      <c r="B95" s="95" t="s">
        <v>357</v>
      </c>
      <c r="C95" s="95" t="s">
        <v>358</v>
      </c>
      <c r="D95" s="95" t="s">
        <v>359</v>
      </c>
      <c r="E95" s="95" t="s">
        <v>360</v>
      </c>
      <c r="F95" s="95" t="s">
        <v>362</v>
      </c>
      <c r="G95" s="95" t="s">
        <v>363</v>
      </c>
      <c r="H95" s="95" t="s">
        <v>364</v>
      </c>
      <c r="I95" s="95" t="s">
        <v>365</v>
      </c>
      <c r="J95" s="95" t="s">
        <v>366</v>
      </c>
      <c r="K95" s="95" t="s">
        <v>462</v>
      </c>
      <c r="L95" s="95" t="s">
        <v>368</v>
      </c>
      <c r="M95" s="95" t="s">
        <v>369</v>
      </c>
      <c r="AA95" s="33"/>
    </row>
    <row r="96" spans="2:29" ht="14.25">
      <c r="B96" s="153" t="s">
        <v>157</v>
      </c>
      <c r="C96" s="96" t="s">
        <v>188</v>
      </c>
      <c r="D96" s="96" t="s">
        <v>263</v>
      </c>
      <c r="E96" s="153" t="s">
        <v>26</v>
      </c>
      <c r="F96" s="96" t="s">
        <v>200</v>
      </c>
      <c r="G96" s="96" t="s">
        <v>264</v>
      </c>
      <c r="H96" s="96" t="s">
        <v>167</v>
      </c>
      <c r="I96" s="96" t="s">
        <v>265</v>
      </c>
      <c r="J96" s="96" t="s">
        <v>198</v>
      </c>
      <c r="K96" s="96" t="s">
        <v>266</v>
      </c>
      <c r="L96" s="96" t="s">
        <v>199</v>
      </c>
      <c r="M96" s="153" t="s">
        <v>72</v>
      </c>
      <c r="N96" s="96" t="s">
        <v>267</v>
      </c>
      <c r="O96" s="48" t="s">
        <v>33</v>
      </c>
      <c r="P96" s="48" t="s">
        <v>25</v>
      </c>
      <c r="Q96" s="48" t="s">
        <v>202</v>
      </c>
      <c r="R96" s="48" t="s">
        <v>201</v>
      </c>
      <c r="S96" s="48" t="s">
        <v>299</v>
      </c>
      <c r="T96" s="48"/>
      <c r="U96" s="48"/>
      <c r="V96" s="48"/>
      <c r="W96" s="48"/>
      <c r="X96" s="48"/>
      <c r="Y96" s="48"/>
      <c r="Z96" s="48"/>
      <c r="AA96" s="48"/>
      <c r="AB96" s="48"/>
      <c r="AC96" s="48"/>
    </row>
    <row r="97" spans="2:29" s="97" customFormat="1" ht="14.25">
      <c r="B97" s="153"/>
      <c r="C97" s="96" t="s">
        <v>111</v>
      </c>
      <c r="D97" s="96" t="s">
        <v>111</v>
      </c>
      <c r="E97" s="153"/>
      <c r="F97" s="96" t="s">
        <v>116</v>
      </c>
      <c r="G97" s="96" t="s">
        <v>122</v>
      </c>
      <c r="H97" s="96" t="s">
        <v>114</v>
      </c>
      <c r="I97" s="96" t="s">
        <v>114</v>
      </c>
      <c r="J97" s="96" t="s">
        <v>123</v>
      </c>
      <c r="K97" s="96" t="s">
        <v>114</v>
      </c>
      <c r="L97" s="96" t="s">
        <v>123</v>
      </c>
      <c r="M97" s="153"/>
      <c r="N97" s="96" t="s">
        <v>111</v>
      </c>
      <c r="O97" s="49" t="s">
        <v>34</v>
      </c>
      <c r="P97" s="49" t="s">
        <v>28</v>
      </c>
      <c r="Q97" s="49" t="s">
        <v>29</v>
      </c>
      <c r="R97" s="49" t="s">
        <v>30</v>
      </c>
      <c r="S97" s="49" t="s">
        <v>31</v>
      </c>
      <c r="T97" s="49" t="s">
        <v>203</v>
      </c>
      <c r="U97" s="49" t="s">
        <v>204</v>
      </c>
      <c r="V97" s="49" t="s">
        <v>36</v>
      </c>
      <c r="W97" s="49" t="s">
        <v>38</v>
      </c>
      <c r="X97" s="49" t="s">
        <v>39</v>
      </c>
      <c r="Y97" s="49" t="s">
        <v>205</v>
      </c>
      <c r="Z97" s="49" t="s">
        <v>14</v>
      </c>
      <c r="AA97" s="49" t="s">
        <v>15</v>
      </c>
      <c r="AB97" s="49" t="s">
        <v>41</v>
      </c>
      <c r="AC97" s="49" t="s">
        <v>42</v>
      </c>
    </row>
    <row r="98" spans="2:29">
      <c r="B98" s="97">
        <v>0</v>
      </c>
      <c r="C98" s="35">
        <f>$F$15</f>
        <v>107.48023074035522</v>
      </c>
      <c r="D98" s="35">
        <f>C98/SQRT(2)</f>
        <v>76</v>
      </c>
      <c r="E98" s="33" t="b">
        <f>IF($C$71&gt;C98,TRUE,FALSE)</f>
        <v>1</v>
      </c>
      <c r="F98" s="36">
        <f t="shared" ref="F98:F118" si="0">IF(E98=TRUE, (2*$C$34/(SQRT(C98+$C$71)))+$C$35,(2*$C$34/(SQRT(C98+$C$71)+SQRT(C98-$C$71)))+$C$35)</f>
        <v>1.5396343605392398E-10</v>
      </c>
      <c r="G98" s="35">
        <f t="shared" ref="G98:G118" si="1">Ifind(Z98,AA98,AB98,AC98,U98,Y98)</f>
        <v>1.9904507398605347</v>
      </c>
      <c r="H98" s="74">
        <f t="shared" ref="H98:H118" si="2">G98*$C$86/C98</f>
        <v>8.5120470974802423E-6</v>
      </c>
      <c r="I98" s="74">
        <f t="shared" ref="I98:I118" si="3">(1/2)*$C$86*(G98^2)/$C$13</f>
        <v>1.4007824429182869E-5</v>
      </c>
      <c r="J98" s="35">
        <f>G98*SQRT(H98/(3*I98))</f>
        <v>0.89582354066580261</v>
      </c>
      <c r="K98" s="74">
        <f>$C$86*G98/$C$71</f>
        <v>4.4226234850507027E-6</v>
      </c>
      <c r="L98" s="98">
        <f>G98*$C$84*SQRT(K98/(3*I98))</f>
        <v>10.517786842325119</v>
      </c>
      <c r="M98" s="35">
        <f>H98/I98</f>
        <v>0.60766374825107539</v>
      </c>
      <c r="N98" s="99">
        <f>$C$19/M98</f>
        <v>19.747763519771173</v>
      </c>
      <c r="O98" s="47">
        <f t="shared" ref="O98:O118" si="4">SQRT($C$87*F98)</f>
        <v>4.2061464387011674E-8</v>
      </c>
      <c r="P98" s="47">
        <f t="shared" ref="P98:P118" si="5">1/(2*PI()*SQRT($C$88*F98))</f>
        <v>590940.58060193551</v>
      </c>
      <c r="Q98" s="47">
        <f t="shared" ref="Q98:Q118" si="6">IF(E98=TRUE,(1/(2*PI()*P98))*ACOS(-C98/$C$71),1/(2*P98))</f>
        <v>5.7020004024977064E-7</v>
      </c>
      <c r="R98" s="47">
        <f t="shared" ref="R98:R118" si="7">IF(E98=TRUE,-($C$71*SQRT((F98/$C$86)*(1-((C98/$C$71)^2)))),0)</f>
        <v>-0.1022964515530493</v>
      </c>
      <c r="S98" s="47">
        <f t="shared" ref="S98:S118" si="8">IF(E98=TRUE,0,(C98-$C$71))</f>
        <v>0</v>
      </c>
      <c r="T98" s="47">
        <f t="shared" ref="T98:T118" si="9">IF(E98=TRUE,($C$86/C98)*(-R98),0)</f>
        <v>4.3746483953964758E-7</v>
      </c>
      <c r="U98" s="47">
        <f t="shared" ref="U98:U118" si="10">2*$C$13*(1/C98+1/$C$71)</f>
        <v>1.8379602600682272</v>
      </c>
      <c r="V98" s="47">
        <f t="shared" ref="V98:V118" si="11">U98*$C$88*(1/C98+1/$C$71)</f>
        <v>1.2242325460496922E-5</v>
      </c>
      <c r="W98" s="47">
        <f t="shared" ref="W98:W118" si="12">(C98+$C$71)*F98/U98</f>
        <v>2.6332098615642004E-8</v>
      </c>
      <c r="X98" s="47">
        <f>Q98+T98+O98+W98+V98</f>
        <v>1.3318383903288994E-5</v>
      </c>
      <c r="Y98" s="47">
        <f t="shared" ref="Y98:Y118" si="13">(1/(1+C98/$C$71))*X98*C98/$C$86</f>
        <v>2.0494984332922264</v>
      </c>
      <c r="Z98" s="47">
        <f t="shared" ref="Z98:Z118" si="14">$C$86/(2*$C$13)</f>
        <v>3.5356382342827469E-6</v>
      </c>
      <c r="AA98" s="47">
        <f t="shared" ref="AA98:AA118" si="15">-(1/C98+1/$C$71)*$C$86</f>
        <v>-6.498362568589485E-6</v>
      </c>
      <c r="AB98" s="47">
        <f>-(Q98+T98+O98)</f>
        <v>-1.0497263441764299E-6</v>
      </c>
      <c r="AC98" s="47">
        <f t="shared" ref="AC98:AC118" si="16">-(C98+$C$71)*F98</f>
        <v>-4.8397350819747586E-8</v>
      </c>
    </row>
    <row r="99" spans="2:29">
      <c r="B99" s="97">
        <v>1</v>
      </c>
      <c r="C99" s="35">
        <f t="shared" ref="C99:C117" si="17">C98+($F$16-$F$15)/$B$118</f>
        <v>110.59150057757603</v>
      </c>
      <c r="D99" s="35">
        <f t="shared" ref="D99:D118" si="18">C99/SQRT(2)</f>
        <v>78.199999999999989</v>
      </c>
      <c r="E99" s="33" t="b">
        <f t="shared" ref="E99:E118" si="19">IF($C$71&gt;C99,TRUE,FALSE)</f>
        <v>1</v>
      </c>
      <c r="F99" s="36">
        <f t="shared" si="0"/>
        <v>1.535755355205563E-10</v>
      </c>
      <c r="G99" s="35">
        <f t="shared" si="1"/>
        <v>1.9571535587310791</v>
      </c>
      <c r="H99" s="74">
        <f t="shared" si="2"/>
        <v>8.1341902328973367E-6</v>
      </c>
      <c r="I99" s="74">
        <f t="shared" si="3"/>
        <v>1.3543085659965751E-5</v>
      </c>
      <c r="J99" s="35">
        <f t="shared" ref="J99:J118" si="20">G99*SQRT(H99/(3*I99))</f>
        <v>0.87571466835738621</v>
      </c>
      <c r="K99" s="74">
        <f t="shared" ref="K99:K118" si="21">$C$86*G99/$C$71</f>
        <v>4.3486397926638033E-6</v>
      </c>
      <c r="L99" s="98">
        <f t="shared" ref="L99:L118" si="22">G99*$C$84*SQRT(K99/(3*I99))</f>
        <v>10.429442615445515</v>
      </c>
      <c r="M99" s="35">
        <f t="shared" ref="M99:M118" si="23">H99/I99</f>
        <v>0.60061572651368045</v>
      </c>
      <c r="N99" s="99">
        <f t="shared" ref="N99:N118" si="24">$C$19/M99</f>
        <v>19.979496823459669</v>
      </c>
      <c r="O99" s="47">
        <f t="shared" si="4"/>
        <v>4.2008445454694136E-8</v>
      </c>
      <c r="P99" s="47">
        <f t="shared" si="5"/>
        <v>591686.40773996676</v>
      </c>
      <c r="Q99" s="47">
        <f t="shared" si="6"/>
        <v>5.7424204253110256E-7</v>
      </c>
      <c r="R99" s="47">
        <f t="shared" si="7"/>
        <v>-0.101051972353155</v>
      </c>
      <c r="S99" s="47">
        <f t="shared" si="8"/>
        <v>0</v>
      </c>
      <c r="T99" s="47">
        <f t="shared" si="9"/>
        <v>4.1998542365933374E-7</v>
      </c>
      <c r="U99" s="47">
        <f t="shared" si="10"/>
        <v>1.8039327093515505</v>
      </c>
      <c r="V99" s="47">
        <f t="shared" si="11"/>
        <v>1.1793218738574446E-5</v>
      </c>
      <c r="W99" s="47">
        <f t="shared" si="12"/>
        <v>2.7026081197216983E-8</v>
      </c>
      <c r="X99" s="47">
        <f t="shared" ref="X99:X118" si="25">Q99+T99+O99+W99+V99</f>
        <v>1.2856480731416794E-5</v>
      </c>
      <c r="Y99" s="47">
        <f t="shared" si="13"/>
        <v>2.0157373740350053</v>
      </c>
      <c r="Z99" s="47">
        <f t="shared" si="14"/>
        <v>3.5356382342827469E-6</v>
      </c>
      <c r="AA99" s="47">
        <f t="shared" si="15"/>
        <v>-6.3780534592566076E-6</v>
      </c>
      <c r="AB99" s="47">
        <f t="shared" ref="AB99:AB118" si="26">-(Q99+T99+O99)</f>
        <v>-1.0362359116451304E-6</v>
      </c>
      <c r="AC99" s="47">
        <f t="shared" si="16"/>
        <v>-4.8753231877250627E-8</v>
      </c>
    </row>
    <row r="100" spans="2:29">
      <c r="B100" s="97">
        <v>2</v>
      </c>
      <c r="C100" s="35">
        <f t="shared" si="17"/>
        <v>113.70277041479683</v>
      </c>
      <c r="D100" s="35">
        <f t="shared" si="18"/>
        <v>80.399999999999991</v>
      </c>
      <c r="E100" s="33" t="b">
        <f t="shared" si="19"/>
        <v>1</v>
      </c>
      <c r="F100" s="36">
        <f t="shared" si="0"/>
        <v>1.5319329596750367E-10</v>
      </c>
      <c r="G100" s="35">
        <f t="shared" si="1"/>
        <v>1.9257183074951172</v>
      </c>
      <c r="H100" s="74">
        <f t="shared" si="2"/>
        <v>7.7845387821944661E-6</v>
      </c>
      <c r="I100" s="74">
        <f t="shared" si="3"/>
        <v>1.3111529006640187E-5</v>
      </c>
      <c r="J100" s="35">
        <f t="shared" si="20"/>
        <v>0.85668646434775619</v>
      </c>
      <c r="K100" s="74">
        <f t="shared" si="21"/>
        <v>4.2787931606469894E-6</v>
      </c>
      <c r="L100" s="98">
        <f t="shared" si="22"/>
        <v>10.345346174876115</v>
      </c>
      <c r="M100" s="35">
        <f t="shared" si="23"/>
        <v>0.59371708503654108</v>
      </c>
      <c r="N100" s="99">
        <f t="shared" si="24"/>
        <v>20.211646763140468</v>
      </c>
      <c r="O100" s="47">
        <f t="shared" si="4"/>
        <v>4.1956134736056436E-8</v>
      </c>
      <c r="P100" s="47">
        <f t="shared" si="5"/>
        <v>592424.11967152951</v>
      </c>
      <c r="Q100" s="47">
        <f t="shared" si="6"/>
        <v>5.783356393787793E-7</v>
      </c>
      <c r="R100" s="47">
        <f t="shared" si="7"/>
        <v>-9.9767223490726295E-2</v>
      </c>
      <c r="S100" s="47">
        <f t="shared" si="8"/>
        <v>0</v>
      </c>
      <c r="T100" s="47">
        <f t="shared" si="9"/>
        <v>4.032998063281853E-7</v>
      </c>
      <c r="U100" s="47">
        <f t="shared" si="10"/>
        <v>1.7717673629029509</v>
      </c>
      <c r="V100" s="47">
        <f t="shared" si="11"/>
        <v>1.1376405980318315E-5</v>
      </c>
      <c r="W100" s="47">
        <f t="shared" si="12"/>
        <v>2.7717247169441091E-8</v>
      </c>
      <c r="X100" s="47">
        <f t="shared" si="25"/>
        <v>1.2427714807930777E-5</v>
      </c>
      <c r="Y100" s="47">
        <f t="shared" si="13"/>
        <v>1.9838862131421495</v>
      </c>
      <c r="Z100" s="47">
        <f t="shared" si="14"/>
        <v>3.5356382342827469E-6</v>
      </c>
      <c r="AA100" s="47">
        <f t="shared" si="15"/>
        <v>-6.2643284305339877E-6</v>
      </c>
      <c r="AB100" s="47">
        <f t="shared" si="26"/>
        <v>-1.0235915804430211E-6</v>
      </c>
      <c r="AC100" s="47">
        <f t="shared" si="16"/>
        <v>-4.9108513924329925E-8</v>
      </c>
    </row>
    <row r="101" spans="2:29">
      <c r="B101" s="97">
        <v>3</v>
      </c>
      <c r="C101" s="35">
        <f t="shared" si="17"/>
        <v>116.81404025201763</v>
      </c>
      <c r="D101" s="35">
        <f t="shared" si="18"/>
        <v>82.59999999999998</v>
      </c>
      <c r="E101" s="33" t="b">
        <f t="shared" si="19"/>
        <v>1</v>
      </c>
      <c r="F101" s="36">
        <f>IF(E101=TRUE, (2*$C$34/(SQRT(C101+$C$71)))+$C$35,(2*$C$34/(SQRT(C101+$C$71)+SQRT(C101-$C$71)))+$C$35)</f>
        <v>1.5281658102804474E-10</v>
      </c>
      <c r="G101" s="35">
        <f t="shared" si="1"/>
        <v>1.8959964513778687</v>
      </c>
      <c r="H101" s="74">
        <f t="shared" si="2"/>
        <v>7.4602545981815575E-6</v>
      </c>
      <c r="I101" s="74">
        <f t="shared" si="3"/>
        <v>1.2709921317981514E-5</v>
      </c>
      <c r="J101" s="35">
        <f t="shared" si="20"/>
        <v>0.83865296415422275</v>
      </c>
      <c r="K101" s="74">
        <f t="shared" si="21"/>
        <v>4.2127535565256375E-6</v>
      </c>
      <c r="L101" s="98">
        <f t="shared" si="22"/>
        <v>10.265199828991726</v>
      </c>
      <c r="M101" s="35">
        <f t="shared" si="23"/>
        <v>0.58696308273970765</v>
      </c>
      <c r="N101" s="99">
        <f t="shared" si="24"/>
        <v>20.444215918978799</v>
      </c>
      <c r="O101" s="47">
        <f t="shared" si="4"/>
        <v>4.1904516186494124E-8</v>
      </c>
      <c r="P101" s="47">
        <f t="shared" si="5"/>
        <v>593153.8757113578</v>
      </c>
      <c r="Q101" s="47">
        <f t="shared" si="6"/>
        <v>5.8248411375363592E-7</v>
      </c>
      <c r="R101" s="47">
        <f t="shared" si="7"/>
        <v>-9.8440698741280808E-2</v>
      </c>
      <c r="S101" s="47">
        <f t="shared" si="8"/>
        <v>0</v>
      </c>
      <c r="T101" s="47">
        <f t="shared" si="9"/>
        <v>3.8733863394055607E-7</v>
      </c>
      <c r="U101" s="47">
        <f t="shared" si="10"/>
        <v>1.7413154247397487</v>
      </c>
      <c r="V101" s="47">
        <f t="shared" si="11"/>
        <v>1.0988706685915012E-5</v>
      </c>
      <c r="W101" s="47">
        <f t="shared" si="12"/>
        <v>2.8405655263821503E-8</v>
      </c>
      <c r="X101" s="47">
        <f t="shared" si="25"/>
        <v>1.202883960505952E-5</v>
      </c>
      <c r="Y101" s="47">
        <f t="shared" si="13"/>
        <v>1.9537926216722064</v>
      </c>
      <c r="Z101" s="47">
        <f t="shared" si="14"/>
        <v>3.5356382342827469E-6</v>
      </c>
      <c r="AA101" s="47">
        <f t="shared" si="15"/>
        <v>-6.1566613936561557E-6</v>
      </c>
      <c r="AB101" s="47">
        <f t="shared" si="26"/>
        <v>-1.0117272638806861E-6</v>
      </c>
      <c r="AC101" s="47">
        <f t="shared" si="16"/>
        <v>-4.946320566073222E-8</v>
      </c>
    </row>
    <row r="102" spans="2:29">
      <c r="B102" s="97">
        <v>4</v>
      </c>
      <c r="C102" s="35">
        <f t="shared" si="17"/>
        <v>119.92531008923844</v>
      </c>
      <c r="D102" s="35">
        <f t="shared" si="18"/>
        <v>84.799999999999983</v>
      </c>
      <c r="E102" s="33" t="b">
        <f t="shared" si="19"/>
        <v>1</v>
      </c>
      <c r="F102" s="36">
        <f t="shared" si="0"/>
        <v>1.5244525889047726E-10</v>
      </c>
      <c r="G102" s="35">
        <f t="shared" si="1"/>
        <v>1.8678548336029053</v>
      </c>
      <c r="H102" s="74">
        <f t="shared" si="2"/>
        <v>7.1588529970201465E-6</v>
      </c>
      <c r="I102" s="74">
        <f t="shared" si="3"/>
        <v>1.233542346062381E-5</v>
      </c>
      <c r="J102" s="35">
        <f t="shared" si="20"/>
        <v>0.82153710647412148</v>
      </c>
      <c r="K102" s="74">
        <f t="shared" si="21"/>
        <v>4.1502251165163188E-6</v>
      </c>
      <c r="L102" s="98">
        <f t="shared" si="22"/>
        <v>10.188733627424741</v>
      </c>
      <c r="M102" s="35">
        <f t="shared" si="23"/>
        <v>0.58034918864942797</v>
      </c>
      <c r="N102" s="99">
        <f t="shared" si="24"/>
        <v>20.677206472754889</v>
      </c>
      <c r="O102" s="47">
        <f t="shared" si="4"/>
        <v>4.1853574272659028E-8</v>
      </c>
      <c r="P102" s="47">
        <f t="shared" si="5"/>
        <v>593875.83062566421</v>
      </c>
      <c r="Q102" s="47">
        <f t="shared" si="6"/>
        <v>5.8669102476508672E-7</v>
      </c>
      <c r="R102" s="47">
        <f t="shared" si="7"/>
        <v>-9.7070755466803313E-2</v>
      </c>
      <c r="S102" s="47">
        <f t="shared" si="8"/>
        <v>0</v>
      </c>
      <c r="T102" s="47">
        <f t="shared" si="9"/>
        <v>3.7203922713635763E-7</v>
      </c>
      <c r="U102" s="47">
        <f t="shared" si="10"/>
        <v>1.7124435399718068</v>
      </c>
      <c r="V102" s="47">
        <f t="shared" si="11"/>
        <v>1.0627331067391812E-5</v>
      </c>
      <c r="W102" s="47">
        <f t="shared" si="12"/>
        <v>2.9091362380599348E-8</v>
      </c>
      <c r="X102" s="47">
        <f t="shared" si="25"/>
        <v>1.1657006255946514E-5</v>
      </c>
      <c r="Y102" s="47">
        <f t="shared" si="13"/>
        <v>1.9253201067244354</v>
      </c>
      <c r="Z102" s="47">
        <f t="shared" si="14"/>
        <v>3.5356382342827469E-6</v>
      </c>
      <c r="AA102" s="47">
        <f t="shared" si="15"/>
        <v>-6.054580853974815E-6</v>
      </c>
      <c r="AB102" s="47">
        <f t="shared" si="26"/>
        <v>-1.0005838261741034E-6</v>
      </c>
      <c r="AC102" s="47">
        <f t="shared" si="16"/>
        <v>-4.9817315577636196E-8</v>
      </c>
    </row>
    <row r="103" spans="2:29">
      <c r="B103" s="97">
        <v>5</v>
      </c>
      <c r="C103" s="35">
        <f t="shared" si="17"/>
        <v>123.03657992645924</v>
      </c>
      <c r="D103" s="35">
        <f t="shared" si="18"/>
        <v>86.999999999999972</v>
      </c>
      <c r="E103" s="33" t="b">
        <f t="shared" si="19"/>
        <v>1</v>
      </c>
      <c r="F103" s="36">
        <f t="shared" si="0"/>
        <v>1.5207920210434521E-10</v>
      </c>
      <c r="G103" s="35">
        <f t="shared" si="1"/>
        <v>1.8411738872528076</v>
      </c>
      <c r="H103" s="74">
        <f t="shared" si="2"/>
        <v>6.8781513874267856E-6</v>
      </c>
      <c r="I103" s="74">
        <f t="shared" si="3"/>
        <v>1.1985535299742896E-5</v>
      </c>
      <c r="J103" s="35">
        <f t="shared" si="20"/>
        <v>0.8052696422172243</v>
      </c>
      <c r="K103" s="74">
        <f t="shared" si="21"/>
        <v>4.0909421724231694E-6</v>
      </c>
      <c r="L103" s="98">
        <f t="shared" si="22"/>
        <v>10.115702569683902</v>
      </c>
      <c r="M103" s="35">
        <f t="shared" si="23"/>
        <v>0.57387102164509329</v>
      </c>
      <c r="N103" s="99">
        <f t="shared" si="24"/>
        <v>20.910621981922134</v>
      </c>
      <c r="O103" s="47">
        <f t="shared" si="4"/>
        <v>4.180329395152782E-8</v>
      </c>
      <c r="P103" s="47">
        <f t="shared" si="5"/>
        <v>594590.13480252039</v>
      </c>
      <c r="Q103" s="47">
        <f t="shared" si="6"/>
        <v>5.9096024344994054E-7</v>
      </c>
      <c r="R103" s="47">
        <f t="shared" si="7"/>
        <v>-9.565559787385057E-2</v>
      </c>
      <c r="S103" s="47">
        <f t="shared" si="8"/>
        <v>0</v>
      </c>
      <c r="T103" s="47">
        <f t="shared" si="9"/>
        <v>3.5734467438752277E-7</v>
      </c>
      <c r="U103" s="47">
        <f t="shared" si="10"/>
        <v>1.6850318424794852</v>
      </c>
      <c r="V103" s="47">
        <f t="shared" si="11"/>
        <v>1.0289823172562504E-5</v>
      </c>
      <c r="W103" s="47">
        <f t="shared" si="12"/>
        <v>2.9774423663567763E-8</v>
      </c>
      <c r="X103" s="47">
        <f t="shared" si="25"/>
        <v>1.1309705808015064E-5</v>
      </c>
      <c r="Y103" s="47">
        <f t="shared" si="13"/>
        <v>1.8983460112371935</v>
      </c>
      <c r="Z103" s="47">
        <f t="shared" si="14"/>
        <v>3.5356382342827469E-6</v>
      </c>
      <c r="AA103" s="47">
        <f t="shared" si="15"/>
        <v>-5.9576630082543701E-6</v>
      </c>
      <c r="AB103" s="47">
        <f t="shared" si="26"/>
        <v>-9.9010821178899116E-7</v>
      </c>
      <c r="AC103" s="47">
        <f t="shared" si="16"/>
        <v>-5.0170851964586372E-8</v>
      </c>
    </row>
    <row r="104" spans="2:29">
      <c r="B104" s="97">
        <v>6</v>
      </c>
      <c r="C104" s="35">
        <f t="shared" si="17"/>
        <v>126.14784976368004</v>
      </c>
      <c r="D104" s="35">
        <f t="shared" si="18"/>
        <v>89.199999999999974</v>
      </c>
      <c r="E104" s="33" t="b">
        <f t="shared" si="19"/>
        <v>1</v>
      </c>
      <c r="F104" s="36">
        <f t="shared" si="0"/>
        <v>1.5171828739664651E-10</v>
      </c>
      <c r="G104" s="35">
        <f t="shared" si="1"/>
        <v>1.8158454895019531</v>
      </c>
      <c r="H104" s="74">
        <f t="shared" si="2"/>
        <v>6.6162241987781211E-6</v>
      </c>
      <c r="I104" s="74">
        <f t="shared" si="3"/>
        <v>1.1658041712175442E-5</v>
      </c>
      <c r="J104" s="35">
        <f t="shared" si="20"/>
        <v>0.78978806852887984</v>
      </c>
      <c r="K104" s="74">
        <f t="shared" si="21"/>
        <v>4.0346644839135391E-6</v>
      </c>
      <c r="L104" s="98">
        <f t="shared" si="22"/>
        <v>10.045882489833954</v>
      </c>
      <c r="M104" s="35">
        <f t="shared" si="23"/>
        <v>0.56752449185940546</v>
      </c>
      <c r="N104" s="99">
        <f t="shared" si="24"/>
        <v>21.144461908038316</v>
      </c>
      <c r="O104" s="47">
        <f t="shared" si="4"/>
        <v>4.175366065051441E-8</v>
      </c>
      <c r="P104" s="47">
        <f t="shared" si="5"/>
        <v>595296.93441435031</v>
      </c>
      <c r="Q104" s="47">
        <f t="shared" si="6"/>
        <v>5.952959945955041E-7</v>
      </c>
      <c r="R104" s="47">
        <f t="shared" si="7"/>
        <v>-9.4193257455013127E-2</v>
      </c>
      <c r="S104" s="47">
        <f t="shared" si="8"/>
        <v>0</v>
      </c>
      <c r="T104" s="47">
        <f t="shared" si="9"/>
        <v>3.432030494546795E-7</v>
      </c>
      <c r="U104" s="47">
        <f t="shared" si="10"/>
        <v>1.6589722915002378</v>
      </c>
      <c r="V104" s="47">
        <f t="shared" si="11"/>
        <v>9.9740135045947302E-6</v>
      </c>
      <c r="W104" s="47">
        <f t="shared" si="12"/>
        <v>3.0454892571137385E-8</v>
      </c>
      <c r="X104" s="47">
        <f t="shared" si="25"/>
        <v>1.0984721101866565E-5</v>
      </c>
      <c r="Y104" s="47">
        <f t="shared" si="13"/>
        <v>1.8727598100499998</v>
      </c>
      <c r="Z104" s="47">
        <f t="shared" si="14"/>
        <v>3.5356382342827469E-6</v>
      </c>
      <c r="AA104" s="47">
        <f t="shared" si="15"/>
        <v>-5.8655258634439032E-6</v>
      </c>
      <c r="AB104" s="47">
        <f t="shared" si="26"/>
        <v>-9.8025270470069797E-7</v>
      </c>
      <c r="AC104" s="47">
        <f t="shared" si="16"/>
        <v>-5.0523822916133358E-8</v>
      </c>
    </row>
    <row r="105" spans="2:29">
      <c r="B105" s="97">
        <v>7</v>
      </c>
      <c r="C105" s="35">
        <f t="shared" si="17"/>
        <v>129.25911960090085</v>
      </c>
      <c r="D105" s="35">
        <f t="shared" si="18"/>
        <v>91.399999999999963</v>
      </c>
      <c r="E105" s="33" t="b">
        <f t="shared" si="19"/>
        <v>1</v>
      </c>
      <c r="F105" s="36">
        <f t="shared" si="0"/>
        <v>1.5136239549741984E-10</v>
      </c>
      <c r="G105" s="35">
        <f t="shared" si="1"/>
        <v>1.7917721271514893</v>
      </c>
      <c r="H105" s="74">
        <f t="shared" si="2"/>
        <v>6.3713689813691231E-6</v>
      </c>
      <c r="I105" s="74">
        <f t="shared" si="3"/>
        <v>1.1350980419742019E-5</v>
      </c>
      <c r="J105" s="35">
        <f t="shared" si="20"/>
        <v>0.77503593664706394</v>
      </c>
      <c r="K105" s="74">
        <f t="shared" si="21"/>
        <v>3.9811753844029647E-6</v>
      </c>
      <c r="L105" s="98">
        <f t="shared" si="22"/>
        <v>9.9790692439671886</v>
      </c>
      <c r="M105" s="35">
        <f t="shared" si="23"/>
        <v>0.56130560936285445</v>
      </c>
      <c r="N105" s="99">
        <f t="shared" si="24"/>
        <v>21.378728093633985</v>
      </c>
      <c r="O105" s="47">
        <f t="shared" si="4"/>
        <v>4.1704660248565014E-8</v>
      </c>
      <c r="P105" s="47">
        <f t="shared" si="5"/>
        <v>595996.37157297204</v>
      </c>
      <c r="Q105" s="47">
        <f t="shared" si="6"/>
        <v>5.9970290590827534E-7</v>
      </c>
      <c r="R105" s="47">
        <f t="shared" si="7"/>
        <v>-9.2681570013770254E-2</v>
      </c>
      <c r="S105" s="47">
        <f t="shared" si="8"/>
        <v>0</v>
      </c>
      <c r="T105" s="47">
        <f t="shared" si="9"/>
        <v>3.2956672970970969E-7</v>
      </c>
      <c r="U105" s="47">
        <f t="shared" si="10"/>
        <v>1.6341672484455931</v>
      </c>
      <c r="V105" s="47">
        <f t="shared" si="11"/>
        <v>9.6779793598576333E-6</v>
      </c>
      <c r="W105" s="47">
        <f t="shared" si="12"/>
        <v>3.1132820943871406E-8</v>
      </c>
      <c r="X105" s="47">
        <f t="shared" si="25"/>
        <v>1.0680086476668055E-5</v>
      </c>
      <c r="Y105" s="47">
        <f t="shared" si="13"/>
        <v>1.8484616523576907</v>
      </c>
      <c r="Z105" s="47">
        <f t="shared" si="14"/>
        <v>3.5356382342827469E-6</v>
      </c>
      <c r="AA105" s="47">
        <f t="shared" si="15"/>
        <v>-5.7778242048168719E-6</v>
      </c>
      <c r="AB105" s="47">
        <f t="shared" si="26"/>
        <v>-9.7097429586655E-7</v>
      </c>
      <c r="AC105" s="47">
        <f t="shared" si="16"/>
        <v>-5.0876236338195673E-8</v>
      </c>
    </row>
    <row r="106" spans="2:29">
      <c r="B106" s="97">
        <v>8</v>
      </c>
      <c r="C106" s="35">
        <f t="shared" si="17"/>
        <v>132.37038943812166</v>
      </c>
      <c r="D106" s="35">
        <f t="shared" si="18"/>
        <v>93.599999999999966</v>
      </c>
      <c r="E106" s="33" t="b">
        <f t="shared" si="19"/>
        <v>1</v>
      </c>
      <c r="F106" s="36">
        <f t="shared" si="0"/>
        <v>1.5101141097414941E-10</v>
      </c>
      <c r="G106" s="35">
        <f t="shared" si="1"/>
        <v>1.768865704536438</v>
      </c>
      <c r="H106" s="74">
        <f t="shared" si="2"/>
        <v>6.1420760456040576E-6</v>
      </c>
      <c r="I106" s="74">
        <f t="shared" si="3"/>
        <v>1.1062608550458E-5</v>
      </c>
      <c r="J106" s="35">
        <f t="shared" si="20"/>
        <v>0.7609621512847925</v>
      </c>
      <c r="K106" s="74">
        <f t="shared" si="21"/>
        <v>3.9302791323194182E-6</v>
      </c>
      <c r="L106" s="98">
        <f t="shared" si="22"/>
        <v>9.9150767162842257</v>
      </c>
      <c r="M106" s="35">
        <f t="shared" si="23"/>
        <v>0.55521046574044886</v>
      </c>
      <c r="N106" s="99">
        <f t="shared" si="24"/>
        <v>21.613425431374683</v>
      </c>
      <c r="O106" s="47">
        <f t="shared" si="4"/>
        <v>4.1656279058178741E-8</v>
      </c>
      <c r="P106" s="47">
        <f t="shared" si="5"/>
        <v>596688.58447759389</v>
      </c>
      <c r="Q106" s="47">
        <f t="shared" si="6"/>
        <v>6.0418606617333654E-7</v>
      </c>
      <c r="R106" s="47">
        <f t="shared" si="7"/>
        <v>-9.11181485151316E-2</v>
      </c>
      <c r="S106" s="47">
        <f t="shared" si="8"/>
        <v>0</v>
      </c>
      <c r="T106" s="47">
        <f t="shared" si="9"/>
        <v>3.1639179609808191E-7</v>
      </c>
      <c r="U106" s="47">
        <f t="shared" si="10"/>
        <v>1.6105282544234314</v>
      </c>
      <c r="V106" s="47">
        <f t="shared" si="11"/>
        <v>9.4000114734867587E-6</v>
      </c>
      <c r="W106" s="47">
        <f t="shared" si="12"/>
        <v>3.1808259068697127E-8</v>
      </c>
      <c r="X106" s="47">
        <f t="shared" si="25"/>
        <v>1.0394053873885053E-5</v>
      </c>
      <c r="Y106" s="47">
        <f t="shared" si="13"/>
        <v>1.8253611100725486</v>
      </c>
      <c r="Z106" s="47">
        <f t="shared" si="14"/>
        <v>3.5356382342827469E-6</v>
      </c>
      <c r="AA106" s="47">
        <f t="shared" si="15"/>
        <v>-5.6942452737321353E-6</v>
      </c>
      <c r="AB106" s="47">
        <f t="shared" si="26"/>
        <v>-9.6223414132959719E-7</v>
      </c>
      <c r="AC106" s="47">
        <f t="shared" si="16"/>
        <v>-5.1228099954157061E-8</v>
      </c>
    </row>
    <row r="107" spans="2:29">
      <c r="B107" s="97">
        <v>9</v>
      </c>
      <c r="C107" s="35">
        <f t="shared" si="17"/>
        <v>135.48165927534248</v>
      </c>
      <c r="D107" s="35">
        <f t="shared" si="18"/>
        <v>95.799999999999969</v>
      </c>
      <c r="E107" s="33" t="b">
        <f t="shared" si="19"/>
        <v>1</v>
      </c>
      <c r="F107" s="36">
        <f t="shared" si="0"/>
        <v>1.5066522207446647E-10</v>
      </c>
      <c r="G107" s="35">
        <f t="shared" si="1"/>
        <v>1.7470459938049316</v>
      </c>
      <c r="H107" s="74">
        <f t="shared" si="2"/>
        <v>5.92700107123122E-6</v>
      </c>
      <c r="I107" s="74">
        <f t="shared" si="3"/>
        <v>1.0791367904643113E-5</v>
      </c>
      <c r="J107" s="35">
        <f t="shared" si="20"/>
        <v>0.74752025456334048</v>
      </c>
      <c r="K107" s="74">
        <f t="shared" si="21"/>
        <v>3.8817974677468333E-6</v>
      </c>
      <c r="L107" s="98">
        <f t="shared" si="22"/>
        <v>9.8537336119572085</v>
      </c>
      <c r="M107" s="35">
        <f t="shared" si="23"/>
        <v>0.54923538179817388</v>
      </c>
      <c r="N107" s="99">
        <f t="shared" si="24"/>
        <v>21.848556006556784</v>
      </c>
      <c r="O107" s="47">
        <f t="shared" si="4"/>
        <v>4.160850380830041E-8</v>
      </c>
      <c r="P107" s="47">
        <f t="shared" si="5"/>
        <v>597373.70755614294</v>
      </c>
      <c r="Q107" s="47">
        <f t="shared" si="6"/>
        <v>6.0875109450257053E-7</v>
      </c>
      <c r="R107" s="47">
        <f t="shared" si="7"/>
        <v>-8.9500350796969302E-2</v>
      </c>
      <c r="S107" s="47">
        <f t="shared" si="8"/>
        <v>0</v>
      </c>
      <c r="T107" s="47">
        <f t="shared" si="9"/>
        <v>3.036374983430671E-7</v>
      </c>
      <c r="U107" s="47">
        <f t="shared" si="10"/>
        <v>1.5879749762018702</v>
      </c>
      <c r="V107" s="47">
        <f t="shared" si="11"/>
        <v>9.1385858464970836E-6</v>
      </c>
      <c r="W107" s="47">
        <f t="shared" si="12"/>
        <v>3.2481255739987038E-8</v>
      </c>
      <c r="X107" s="47">
        <f t="shared" si="25"/>
        <v>1.0125064198891009E-5</v>
      </c>
      <c r="Y107" s="47">
        <f t="shared" si="13"/>
        <v>1.8033760990602663</v>
      </c>
      <c r="Z107" s="47">
        <f t="shared" si="14"/>
        <v>3.5356382342827469E-6</v>
      </c>
      <c r="AA107" s="47">
        <f t="shared" si="15"/>
        <v>-5.6145050409435674E-6</v>
      </c>
      <c r="AB107" s="47">
        <f t="shared" si="26"/>
        <v>-9.5399709665393796E-7</v>
      </c>
      <c r="AC107" s="47">
        <f t="shared" si="16"/>
        <v>-5.1579421310712775E-8</v>
      </c>
    </row>
    <row r="108" spans="2:29">
      <c r="B108" s="97">
        <v>10</v>
      </c>
      <c r="C108" s="35">
        <f t="shared" si="17"/>
        <v>138.5929291125633</v>
      </c>
      <c r="D108" s="35">
        <f t="shared" si="18"/>
        <v>97.999999999999986</v>
      </c>
      <c r="E108" s="33" t="b">
        <f t="shared" si="19"/>
        <v>1</v>
      </c>
      <c r="F108" s="36">
        <f t="shared" si="0"/>
        <v>1.5032372057665969E-10</v>
      </c>
      <c r="G108" s="35">
        <f t="shared" si="1"/>
        <v>1.7262400388717651</v>
      </c>
      <c r="H108" s="74">
        <f t="shared" si="2"/>
        <v>5.7249445687348061E-6</v>
      </c>
      <c r="I108" s="74">
        <f t="shared" si="3"/>
        <v>1.0535864892147977E-5</v>
      </c>
      <c r="J108" s="35">
        <f t="shared" si="20"/>
        <v>0.73466796810442714</v>
      </c>
      <c r="K108" s="74">
        <f t="shared" si="21"/>
        <v>3.8355682880572242E-6</v>
      </c>
      <c r="L108" s="98">
        <f t="shared" si="22"/>
        <v>9.7948827298689896</v>
      </c>
      <c r="M108" s="35">
        <f t="shared" si="23"/>
        <v>0.54337680174708891</v>
      </c>
      <c r="N108" s="99">
        <f t="shared" si="24"/>
        <v>22.084122769719048</v>
      </c>
      <c r="O108" s="47">
        <f t="shared" si="4"/>
        <v>4.1561321628035852E-8</v>
      </c>
      <c r="P108" s="47">
        <f t="shared" si="5"/>
        <v>598051.87160028657</v>
      </c>
      <c r="Q108" s="47">
        <f t="shared" si="6"/>
        <v>6.1340422337311875E-7</v>
      </c>
      <c r="R108" s="47">
        <f t="shared" si="7"/>
        <v>-8.7825240900926818E-2</v>
      </c>
      <c r="S108" s="47">
        <f t="shared" si="8"/>
        <v>0</v>
      </c>
      <c r="T108" s="47">
        <f t="shared" si="9"/>
        <v>2.9126577102348012E-7</v>
      </c>
      <c r="U108" s="47">
        <f t="shared" si="10"/>
        <v>1.5664342941453584</v>
      </c>
      <c r="V108" s="47">
        <f t="shared" si="11"/>
        <v>8.8923398502225171E-6</v>
      </c>
      <c r="W108" s="47">
        <f t="shared" si="12"/>
        <v>3.3151858317689718E-8</v>
      </c>
      <c r="X108" s="47">
        <f t="shared" si="25"/>
        <v>9.8717230245648418E-6</v>
      </c>
      <c r="Y108" s="47">
        <f t="shared" si="13"/>
        <v>1.7824319461638272</v>
      </c>
      <c r="Z108" s="47">
        <f t="shared" si="14"/>
        <v>3.5356382342827469E-6</v>
      </c>
      <c r="AA108" s="47">
        <f t="shared" si="15"/>
        <v>-5.5383449818720361E-6</v>
      </c>
      <c r="AB108" s="47">
        <f t="shared" si="26"/>
        <v>-9.4623131602463472E-7</v>
      </c>
      <c r="AC108" s="47">
        <f t="shared" si="16"/>
        <v>-5.1930207783477219E-8</v>
      </c>
    </row>
    <row r="109" spans="2:29">
      <c r="B109" s="97">
        <v>11</v>
      </c>
      <c r="C109" s="35">
        <f t="shared" si="17"/>
        <v>141.70419894978411</v>
      </c>
      <c r="D109" s="35">
        <f t="shared" si="18"/>
        <v>100.19999999999999</v>
      </c>
      <c r="E109" s="33" t="b">
        <f t="shared" si="19"/>
        <v>1</v>
      </c>
      <c r="F109" s="36">
        <f t="shared" si="0"/>
        <v>1.4998680164754162E-10</v>
      </c>
      <c r="G109" s="35">
        <f t="shared" si="1"/>
        <v>1.7063815593719482</v>
      </c>
      <c r="H109" s="74">
        <f t="shared" si="2"/>
        <v>5.534834046411697E-6</v>
      </c>
      <c r="I109" s="74">
        <f t="shared" si="3"/>
        <v>1.0294852293522685E-5</v>
      </c>
      <c r="J109" s="35">
        <f t="shared" si="20"/>
        <v>0.72236677686126005</v>
      </c>
      <c r="K109" s="74">
        <f t="shared" si="21"/>
        <v>3.7914443235428136E-6</v>
      </c>
      <c r="L109" s="98">
        <f t="shared" si="22"/>
        <v>9.7383801218038375</v>
      </c>
      <c r="M109" s="35">
        <f t="shared" si="23"/>
        <v>0.53763122467469526</v>
      </c>
      <c r="N109" s="99">
        <f t="shared" si="24"/>
        <v>22.320132182167889</v>
      </c>
      <c r="O109" s="47">
        <f t="shared" si="4"/>
        <v>4.1514720031143166E-8</v>
      </c>
      <c r="P109" s="47">
        <f t="shared" si="5"/>
        <v>598723.20389447827</v>
      </c>
      <c r="Q109" s="47">
        <f t="shared" si="6"/>
        <v>6.1815239897016166E-7</v>
      </c>
      <c r="R109" s="47">
        <f t="shared" si="7"/>
        <v>-8.6089542410398415E-2</v>
      </c>
      <c r="S109" s="47">
        <f t="shared" si="8"/>
        <v>0</v>
      </c>
      <c r="T109" s="47">
        <f t="shared" si="9"/>
        <v>2.7924078747572409E-7</v>
      </c>
      <c r="U109" s="47">
        <f t="shared" si="10"/>
        <v>1.5458395103029055</v>
      </c>
      <c r="V109" s="47">
        <f t="shared" si="11"/>
        <v>8.6600518781432439E-6</v>
      </c>
      <c r="W109" s="47">
        <f t="shared" si="12"/>
        <v>3.382011278267867E-8</v>
      </c>
      <c r="X109" s="47">
        <f t="shared" si="25"/>
        <v>9.6327798974029519E-6</v>
      </c>
      <c r="Y109" s="47">
        <f t="shared" si="13"/>
        <v>1.7624605797068202</v>
      </c>
      <c r="Z109" s="47">
        <f t="shared" si="14"/>
        <v>3.5356382342827469E-6</v>
      </c>
      <c r="AA109" s="47">
        <f t="shared" si="15"/>
        <v>-5.4655292766918704E-6</v>
      </c>
      <c r="AB109" s="47">
        <f t="shared" si="26"/>
        <v>-9.3890790647702885E-7</v>
      </c>
      <c r="AC109" s="47">
        <f t="shared" si="16"/>
        <v>-5.2280466582365028E-8</v>
      </c>
    </row>
    <row r="110" spans="2:29">
      <c r="B110" s="97">
        <v>12</v>
      </c>
      <c r="C110" s="35">
        <f t="shared" si="17"/>
        <v>144.81546878700493</v>
      </c>
      <c r="D110" s="35">
        <f t="shared" si="18"/>
        <v>102.39999999999999</v>
      </c>
      <c r="E110" s="33" t="b">
        <f t="shared" si="19"/>
        <v>1</v>
      </c>
      <c r="F110" s="36">
        <f t="shared" si="0"/>
        <v>1.49654363707246E-10</v>
      </c>
      <c r="G110" s="35">
        <f t="shared" si="1"/>
        <v>1.687409520149231</v>
      </c>
      <c r="H110" s="74">
        <f t="shared" si="2"/>
        <v>5.3557058276967705E-6</v>
      </c>
      <c r="I110" s="74">
        <f t="shared" si="3"/>
        <v>1.0067202668472232E-5</v>
      </c>
      <c r="J110" s="35">
        <f t="shared" si="20"/>
        <v>0.71058137340366223</v>
      </c>
      <c r="K110" s="74">
        <f t="shared" si="21"/>
        <v>3.7492899589331313E-6</v>
      </c>
      <c r="L110" s="98">
        <f t="shared" si="22"/>
        <v>9.6840917510090403</v>
      </c>
      <c r="M110" s="35">
        <f t="shared" si="23"/>
        <v>0.53199543150843676</v>
      </c>
      <c r="N110" s="99">
        <f t="shared" si="24"/>
        <v>22.556584679636849</v>
      </c>
      <c r="O110" s="47">
        <f t="shared" si="4"/>
        <v>4.1468686901256401E-8</v>
      </c>
      <c r="P110" s="47">
        <f t="shared" si="5"/>
        <v>599387.82833934494</v>
      </c>
      <c r="Q110" s="47">
        <f t="shared" si="6"/>
        <v>6.23003403456444E-7</v>
      </c>
      <c r="R110" s="47">
        <f t="shared" si="7"/>
        <v>-8.4289581677104014E-2</v>
      </c>
      <c r="S110" s="47">
        <f t="shared" si="8"/>
        <v>0</v>
      </c>
      <c r="T110" s="47">
        <f t="shared" si="9"/>
        <v>2.6752853910784228E-7</v>
      </c>
      <c r="U110" s="47">
        <f t="shared" si="10"/>
        <v>1.5261296585786825</v>
      </c>
      <c r="V110" s="47">
        <f t="shared" si="11"/>
        <v>8.4406239528211736E-6</v>
      </c>
      <c r="W110" s="47">
        <f t="shared" si="12"/>
        <v>3.4486063789476362E-8</v>
      </c>
      <c r="X110" s="47">
        <f t="shared" si="25"/>
        <v>9.4071106460761923E-6</v>
      </c>
      <c r="Y110" s="47">
        <f t="shared" si="13"/>
        <v>1.7433998250274401</v>
      </c>
      <c r="Z110" s="47">
        <f t="shared" si="14"/>
        <v>3.5356382342827469E-6</v>
      </c>
      <c r="AA110" s="47">
        <f t="shared" si="15"/>
        <v>-5.3958423713436647E-6</v>
      </c>
      <c r="AB110" s="47">
        <f t="shared" si="26"/>
        <v>-9.3200062946554263E-7</v>
      </c>
      <c r="AC110" s="47">
        <f t="shared" si="16"/>
        <v>-5.263020475675623E-8</v>
      </c>
    </row>
    <row r="111" spans="2:29">
      <c r="B111" s="97">
        <v>13</v>
      </c>
      <c r="C111" s="35">
        <f t="shared" si="17"/>
        <v>147.92673862422575</v>
      </c>
      <c r="D111" s="35">
        <f t="shared" si="18"/>
        <v>104.6</v>
      </c>
      <c r="E111" s="33" t="b">
        <f t="shared" si="19"/>
        <v>1</v>
      </c>
      <c r="F111" s="36">
        <f t="shared" si="0"/>
        <v>1.4932630830056073E-10</v>
      </c>
      <c r="G111" s="35">
        <f t="shared" si="1"/>
        <v>1.6692684888839722</v>
      </c>
      <c r="H111" s="74">
        <f t="shared" si="2"/>
        <v>5.1866947190975975E-6</v>
      </c>
      <c r="I111" s="74">
        <f t="shared" si="3"/>
        <v>9.8519049255813624E-6</v>
      </c>
      <c r="J111" s="35">
        <f t="shared" si="20"/>
        <v>0.69927951370453556</v>
      </c>
      <c r="K111" s="74">
        <f t="shared" si="21"/>
        <v>3.7089820280157383E-6</v>
      </c>
      <c r="L111" s="98">
        <f t="shared" si="22"/>
        <v>9.6318951328351172</v>
      </c>
      <c r="M111" s="35">
        <f t="shared" si="23"/>
        <v>0.52646617667105933</v>
      </c>
      <c r="N111" s="99">
        <f t="shared" si="24"/>
        <v>22.793487087581138</v>
      </c>
      <c r="O111" s="47">
        <f t="shared" si="4"/>
        <v>4.1423210477801042E-8</v>
      </c>
      <c r="P111" s="47">
        <f t="shared" si="5"/>
        <v>600045.8655697077</v>
      </c>
      <c r="Q111" s="47">
        <f t="shared" si="6"/>
        <v>6.2796600532313851E-7</v>
      </c>
      <c r="R111" s="47">
        <f t="shared" si="7"/>
        <v>-8.2421218119113099E-2</v>
      </c>
      <c r="S111" s="47">
        <f t="shared" si="8"/>
        <v>0</v>
      </c>
      <c r="T111" s="47">
        <f t="shared" si="9"/>
        <v>2.5609642763088754E-7</v>
      </c>
      <c r="U111" s="47">
        <f t="shared" si="10"/>
        <v>1.5072489019556699</v>
      </c>
      <c r="V111" s="47">
        <f t="shared" si="11"/>
        <v>8.23306680500419E-6</v>
      </c>
      <c r="W111" s="47">
        <f t="shared" si="12"/>
        <v>3.5149754716500374E-8</v>
      </c>
      <c r="X111" s="47">
        <f t="shared" si="25"/>
        <v>9.1937022031525178E-6</v>
      </c>
      <c r="Y111" s="47">
        <f t="shared" si="13"/>
        <v>1.7251927897318999</v>
      </c>
      <c r="Z111" s="47">
        <f t="shared" si="14"/>
        <v>3.5356382342827469E-6</v>
      </c>
      <c r="AA111" s="47">
        <f t="shared" si="15"/>
        <v>-5.3290868463351534E-6</v>
      </c>
      <c r="AB111" s="47">
        <f t="shared" si="26"/>
        <v>-9.2548564343182712E-7</v>
      </c>
      <c r="AC111" s="47">
        <f t="shared" si="16"/>
        <v>-5.2979429200456311E-8</v>
      </c>
    </row>
    <row r="112" spans="2:29">
      <c r="B112" s="97">
        <v>14</v>
      </c>
      <c r="C112" s="35">
        <f t="shared" si="17"/>
        <v>151.03800846144657</v>
      </c>
      <c r="D112" s="35">
        <f t="shared" si="18"/>
        <v>106.8</v>
      </c>
      <c r="E112" s="33" t="b">
        <f t="shared" si="19"/>
        <v>1</v>
      </c>
      <c r="F112" s="36">
        <f t="shared" si="0"/>
        <v>1.4900253997442647E-10</v>
      </c>
      <c r="G112" s="35">
        <f t="shared" si="1"/>
        <v>1.6520595550537109</v>
      </c>
      <c r="H112" s="74">
        <f t="shared" si="2"/>
        <v>5.0274831374953693E-6</v>
      </c>
      <c r="I112" s="74">
        <f t="shared" si="3"/>
        <v>9.6498201674470177E-6</v>
      </c>
      <c r="J112" s="35">
        <f t="shared" si="20"/>
        <v>0.68846326652095857</v>
      </c>
      <c r="K112" s="74">
        <f t="shared" si="21"/>
        <v>3.6707451435823511E-6</v>
      </c>
      <c r="L112" s="98">
        <f t="shared" si="22"/>
        <v>9.5821176208057839</v>
      </c>
      <c r="M112" s="35">
        <f t="shared" si="23"/>
        <v>0.52099241750175063</v>
      </c>
      <c r="N112" s="99">
        <f t="shared" si="24"/>
        <v>23.032964774309171</v>
      </c>
      <c r="O112" s="47">
        <f t="shared" si="4"/>
        <v>4.1378279342563088E-8</v>
      </c>
      <c r="P112" s="47">
        <f t="shared" si="5"/>
        <v>600697.43306751701</v>
      </c>
      <c r="Q112" s="47">
        <f t="shared" si="6"/>
        <v>6.330501461261119E-7</v>
      </c>
      <c r="R112" s="47">
        <f t="shared" si="7"/>
        <v>-8.0479757794079537E-2</v>
      </c>
      <c r="S112" s="47">
        <f t="shared" si="8"/>
        <v>0</v>
      </c>
      <c r="T112" s="47">
        <f t="shared" si="9"/>
        <v>2.4491285679243683E-7</v>
      </c>
      <c r="U112" s="47">
        <f t="shared" si="10"/>
        <v>1.489146004219748</v>
      </c>
      <c r="V112" s="47">
        <f t="shared" si="11"/>
        <v>8.0364870292708069E-6</v>
      </c>
      <c r="W112" s="47">
        <f t="shared" si="12"/>
        <v>3.5811227713969423E-8</v>
      </c>
      <c r="X112" s="47">
        <f t="shared" si="25"/>
        <v>8.9916395392458877E-6</v>
      </c>
      <c r="Y112" s="47">
        <f t="shared" si="13"/>
        <v>1.7077873259230436</v>
      </c>
      <c r="Z112" s="47">
        <f t="shared" si="14"/>
        <v>3.5356382342827469E-6</v>
      </c>
      <c r="AA112" s="47">
        <f t="shared" si="15"/>
        <v>-5.2650815489487169E-6</v>
      </c>
      <c r="AB112" s="47">
        <f t="shared" si="26"/>
        <v>-9.1934128226111185E-7</v>
      </c>
      <c r="AC112" s="47">
        <f t="shared" si="16"/>
        <v>-5.3328146656461069E-8</v>
      </c>
    </row>
    <row r="113" spans="2:29">
      <c r="B113" s="97">
        <v>15</v>
      </c>
      <c r="C113" s="35">
        <f t="shared" si="17"/>
        <v>154.14927829866738</v>
      </c>
      <c r="D113" s="35">
        <f t="shared" si="18"/>
        <v>109.00000000000001</v>
      </c>
      <c r="E113" s="33" t="b">
        <f t="shared" si="19"/>
        <v>1</v>
      </c>
      <c r="F113" s="36">
        <f t="shared" si="0"/>
        <v>1.4868296616125381E-10</v>
      </c>
      <c r="G113" s="35">
        <f t="shared" si="1"/>
        <v>1.6354348659515381</v>
      </c>
      <c r="H113" s="74">
        <f t="shared" si="2"/>
        <v>4.8764405109274666E-6</v>
      </c>
      <c r="I113" s="74">
        <f t="shared" si="3"/>
        <v>9.4565849062594694E-6</v>
      </c>
      <c r="J113" s="35">
        <f t="shared" si="20"/>
        <v>0.67804251647749725</v>
      </c>
      <c r="K113" s="74">
        <f t="shared" si="21"/>
        <v>3.6338064045407172E-6</v>
      </c>
      <c r="L113" s="98">
        <f t="shared" si="22"/>
        <v>9.5337832512281775</v>
      </c>
      <c r="M113" s="35">
        <f t="shared" si="23"/>
        <v>0.51566612675360957</v>
      </c>
      <c r="N113" s="99">
        <f t="shared" si="24"/>
        <v>23.270871165314528</v>
      </c>
      <c r="O113" s="47">
        <f t="shared" si="4"/>
        <v>4.1333882406876134E-8</v>
      </c>
      <c r="P113" s="47">
        <f t="shared" si="5"/>
        <v>601342.64526995888</v>
      </c>
      <c r="Q113" s="47">
        <f t="shared" si="6"/>
        <v>6.382671749763496E-7</v>
      </c>
      <c r="R113" s="47">
        <f t="shared" si="7"/>
        <v>-7.8459845057024968E-2</v>
      </c>
      <c r="S113" s="47">
        <f t="shared" si="8"/>
        <v>0</v>
      </c>
      <c r="T113" s="47">
        <f t="shared" si="9"/>
        <v>2.3394680820538785E-7</v>
      </c>
      <c r="U113" s="47">
        <f t="shared" si="10"/>
        <v>1.4717738656584869</v>
      </c>
      <c r="V113" s="47">
        <f t="shared" si="11"/>
        <v>7.8500759906627939E-6</v>
      </c>
      <c r="W113" s="47">
        <f t="shared" si="12"/>
        <v>3.647052374959784E-8</v>
      </c>
      <c r="X113" s="47">
        <f t="shared" si="25"/>
        <v>8.8000943800010056E-6</v>
      </c>
      <c r="Y113" s="47">
        <f t="shared" si="13"/>
        <v>1.6911355587766828</v>
      </c>
      <c r="Z113" s="47">
        <f t="shared" si="14"/>
        <v>3.5356382342827469E-6</v>
      </c>
      <c r="AA113" s="47">
        <f t="shared" si="15"/>
        <v>-5.2036599516402645E-6</v>
      </c>
      <c r="AB113" s="47">
        <f t="shared" si="26"/>
        <v>-9.1354786558861358E-7</v>
      </c>
      <c r="AC113" s="47">
        <f t="shared" si="16"/>
        <v>-5.3676363721535266E-8</v>
      </c>
    </row>
    <row r="114" spans="2:29">
      <c r="B114" s="97">
        <v>16</v>
      </c>
      <c r="C114" s="35">
        <f t="shared" si="17"/>
        <v>157.2605481358882</v>
      </c>
      <c r="D114" s="35">
        <f t="shared" si="18"/>
        <v>111.20000000000002</v>
      </c>
      <c r="E114" s="33" t="b">
        <f t="shared" si="19"/>
        <v>1</v>
      </c>
      <c r="F114" s="36">
        <f t="shared" si="0"/>
        <v>1.4836749706773665E-10</v>
      </c>
      <c r="G114" s="35">
        <f t="shared" si="1"/>
        <v>1.6195006370544434</v>
      </c>
      <c r="H114" s="74">
        <f t="shared" si="2"/>
        <v>4.7333924324283293E-6</v>
      </c>
      <c r="I114" s="74">
        <f t="shared" si="3"/>
        <v>9.2732094275274161E-6</v>
      </c>
      <c r="J114" s="35">
        <f t="shared" si="20"/>
        <v>0.66802346510652932</v>
      </c>
      <c r="K114" s="74">
        <f t="shared" si="21"/>
        <v>3.5984018132462836E-6</v>
      </c>
      <c r="L114" s="98">
        <f t="shared" si="22"/>
        <v>9.4872251983743521</v>
      </c>
      <c r="M114" s="35">
        <f t="shared" si="23"/>
        <v>0.51043734851682609</v>
      </c>
      <c r="N114" s="99">
        <f t="shared" si="24"/>
        <v>23.509251497501719</v>
      </c>
      <c r="O114" s="47">
        <f t="shared" si="4"/>
        <v>4.1290008899392961E-8</v>
      </c>
      <c r="P114" s="47">
        <f t="shared" si="5"/>
        <v>601981.61367298081</v>
      </c>
      <c r="Q114" s="47">
        <f t="shared" si="6"/>
        <v>6.4363014660136168E-7</v>
      </c>
      <c r="R114" s="47">
        <f t="shared" si="7"/>
        <v>-7.6355325090389378E-2</v>
      </c>
      <c r="S114" s="47">
        <f t="shared" si="8"/>
        <v>0</v>
      </c>
      <c r="T114" s="47">
        <f t="shared" si="9"/>
        <v>2.2316738239498701E-7</v>
      </c>
      <c r="U114" s="47">
        <f t="shared" si="10"/>
        <v>1.4550891138748294</v>
      </c>
      <c r="V114" s="47">
        <f t="shared" si="11"/>
        <v>7.6731002132705424E-6</v>
      </c>
      <c r="W114" s="47">
        <f t="shared" si="12"/>
        <v>3.7127682652199115E-8</v>
      </c>
      <c r="X114" s="47">
        <f t="shared" si="25"/>
        <v>8.6183154338184825E-6</v>
      </c>
      <c r="Y114" s="47">
        <f t="shared" si="13"/>
        <v>1.6751934726005786</v>
      </c>
      <c r="Z114" s="47">
        <f t="shared" si="14"/>
        <v>3.5356382342827469E-6</v>
      </c>
      <c r="AA114" s="47">
        <f t="shared" si="15"/>
        <v>-5.1446687053044486E-6</v>
      </c>
      <c r="AB114" s="47">
        <f t="shared" si="26"/>
        <v>-9.0808753789574162E-7</v>
      </c>
      <c r="AC114" s="47">
        <f t="shared" si="16"/>
        <v>-5.4024086850614291E-8</v>
      </c>
    </row>
    <row r="115" spans="2:29">
      <c r="B115" s="97">
        <v>17</v>
      </c>
      <c r="C115" s="35">
        <f t="shared" si="17"/>
        <v>160.37181797310902</v>
      </c>
      <c r="D115" s="35">
        <f t="shared" si="18"/>
        <v>113.40000000000002</v>
      </c>
      <c r="E115" s="33" t="b">
        <f t="shared" si="19"/>
        <v>1</v>
      </c>
      <c r="F115" s="36">
        <f t="shared" si="0"/>
        <v>1.4805604556885693E-10</v>
      </c>
      <c r="G115" s="35">
        <f t="shared" si="1"/>
        <v>1.6042168140411377</v>
      </c>
      <c r="H115" s="74">
        <f t="shared" si="2"/>
        <v>4.5977588133224348E-6</v>
      </c>
      <c r="I115" s="74">
        <f t="shared" si="3"/>
        <v>9.0990059614303939E-6</v>
      </c>
      <c r="J115" s="35">
        <f t="shared" si="20"/>
        <v>0.65838291823458739</v>
      </c>
      <c r="K115" s="74">
        <f t="shared" si="21"/>
        <v>3.5644423721778046E-6</v>
      </c>
      <c r="L115" s="98">
        <f t="shared" si="22"/>
        <v>9.442351859494476</v>
      </c>
      <c r="M115" s="35">
        <f t="shared" si="23"/>
        <v>0.50530341806696122</v>
      </c>
      <c r="N115" s="99">
        <f t="shared" si="24"/>
        <v>23.748107712997495</v>
      </c>
      <c r="O115" s="47">
        <f t="shared" si="4"/>
        <v>4.1246648354410171E-8</v>
      </c>
      <c r="P115" s="47">
        <f t="shared" si="5"/>
        <v>602614.44693046622</v>
      </c>
      <c r="Q115" s="47">
        <f t="shared" si="6"/>
        <v>6.4915420537897426E-7</v>
      </c>
      <c r="R115" s="47">
        <f t="shared" si="7"/>
        <v>-7.4159067104745083E-2</v>
      </c>
      <c r="S115" s="47">
        <f t="shared" si="8"/>
        <v>0</v>
      </c>
      <c r="T115" s="47">
        <f t="shared" si="9"/>
        <v>2.1254328054927618E-7</v>
      </c>
      <c r="U115" s="47">
        <f t="shared" si="10"/>
        <v>1.4390517422309261</v>
      </c>
      <c r="V115" s="47">
        <f t="shared" si="11"/>
        <v>7.5048930275303503E-6</v>
      </c>
      <c r="W115" s="47">
        <f t="shared" si="12"/>
        <v>3.7782743153311675E-8</v>
      </c>
      <c r="X115" s="47">
        <f t="shared" si="25"/>
        <v>8.4456199049663226E-6</v>
      </c>
      <c r="Y115" s="47">
        <f t="shared" si="13"/>
        <v>1.6599205469985159</v>
      </c>
      <c r="Z115" s="47">
        <f t="shared" si="14"/>
        <v>3.5356382342827469E-6</v>
      </c>
      <c r="AA115" s="47">
        <f t="shared" si="15"/>
        <v>-5.0879663609428622E-6</v>
      </c>
      <c r="AB115" s="47">
        <f t="shared" si="26"/>
        <v>-9.0294413428266058E-7</v>
      </c>
      <c r="AC115" s="47">
        <f t="shared" si="16"/>
        <v>-5.4371322361036764E-8</v>
      </c>
    </row>
    <row r="116" spans="2:29">
      <c r="B116" s="97">
        <v>18</v>
      </c>
      <c r="C116" s="35">
        <f t="shared" si="17"/>
        <v>163.48308781032983</v>
      </c>
      <c r="D116" s="35">
        <f t="shared" si="18"/>
        <v>115.60000000000002</v>
      </c>
      <c r="E116" s="33" t="b">
        <f t="shared" si="19"/>
        <v>1</v>
      </c>
      <c r="F116" s="36">
        <f t="shared" si="0"/>
        <v>1.4774852710679772E-10</v>
      </c>
      <c r="G116" s="35">
        <f t="shared" si="1"/>
        <v>1.5895472764968872</v>
      </c>
      <c r="H116" s="74">
        <f t="shared" si="2"/>
        <v>4.469014784118534E-6</v>
      </c>
      <c r="I116" s="74">
        <f t="shared" si="3"/>
        <v>8.9333576251931877E-6</v>
      </c>
      <c r="J116" s="35">
        <f t="shared" si="20"/>
        <v>0.64909962387263687</v>
      </c>
      <c r="K116" s="74">
        <f t="shared" si="21"/>
        <v>3.5318478246420138E-6</v>
      </c>
      <c r="L116" s="98">
        <f t="shared" si="22"/>
        <v>9.3990805735693321</v>
      </c>
      <c r="M116" s="35">
        <f t="shared" si="23"/>
        <v>0.50026148863842101</v>
      </c>
      <c r="N116" s="99">
        <f t="shared" si="24"/>
        <v>23.987455106050266</v>
      </c>
      <c r="O116" s="47">
        <f t="shared" si="4"/>
        <v>4.1203790600716622E-8</v>
      </c>
      <c r="P116" s="47">
        <f t="shared" si="5"/>
        <v>603241.25094927603</v>
      </c>
      <c r="Q116" s="47">
        <f t="shared" si="6"/>
        <v>6.5485708770878007E-7</v>
      </c>
      <c r="R116" s="47">
        <f t="shared" si="7"/>
        <v>-7.1862733490139177E-2</v>
      </c>
      <c r="S116" s="47">
        <f t="shared" si="8"/>
        <v>0</v>
      </c>
      <c r="T116" s="47">
        <f t="shared" si="9"/>
        <v>2.0204219348692707E-7</v>
      </c>
      <c r="U116" s="47">
        <f t="shared" si="10"/>
        <v>1.423624789576929</v>
      </c>
      <c r="V116" s="47">
        <f t="shared" si="11"/>
        <v>7.3448472902650906E-6</v>
      </c>
      <c r="W116" s="47">
        <f t="shared" si="12"/>
        <v>3.843574292695286E-8</v>
      </c>
      <c r="X116" s="47">
        <f t="shared" si="25"/>
        <v>8.2813861049884667E-6</v>
      </c>
      <c r="Y116" s="47">
        <f t="shared" si="13"/>
        <v>1.6452794370434556</v>
      </c>
      <c r="Z116" s="47">
        <f t="shared" si="14"/>
        <v>3.5356382342827469E-6</v>
      </c>
      <c r="AA116" s="47">
        <f t="shared" si="15"/>
        <v>-5.0334222373009195E-6</v>
      </c>
      <c r="AB116" s="47">
        <f t="shared" si="26"/>
        <v>-8.9810307179642373E-7</v>
      </c>
      <c r="AC116" s="47">
        <f t="shared" si="16"/>
        <v>-5.4718076436616201E-8</v>
      </c>
    </row>
    <row r="117" spans="2:29">
      <c r="B117" s="97">
        <v>19</v>
      </c>
      <c r="C117" s="35">
        <f t="shared" si="17"/>
        <v>166.59435764755065</v>
      </c>
      <c r="D117" s="35">
        <f t="shared" si="18"/>
        <v>117.80000000000003</v>
      </c>
      <c r="E117" s="33" t="b">
        <f t="shared" si="19"/>
        <v>1</v>
      </c>
      <c r="F117" s="36">
        <f t="shared" si="0"/>
        <v>1.4744485959449761E-10</v>
      </c>
      <c r="G117" s="35">
        <f t="shared" si="1"/>
        <v>1.5754578113555908</v>
      </c>
      <c r="H117" s="74">
        <f t="shared" si="2"/>
        <v>4.3466799469562825E-6</v>
      </c>
      <c r="I117" s="74">
        <f t="shared" si="3"/>
        <v>8.7756921002551156E-6</v>
      </c>
      <c r="J117" s="35">
        <f t="shared" si="20"/>
        <v>0.64015374949327386</v>
      </c>
      <c r="K117" s="74">
        <f t="shared" si="21"/>
        <v>3.5005421519228453E-6</v>
      </c>
      <c r="L117" s="98">
        <f t="shared" si="22"/>
        <v>9.3573319629758736</v>
      </c>
      <c r="M117" s="35">
        <f t="shared" si="23"/>
        <v>0.49530907617302589</v>
      </c>
      <c r="N117" s="99">
        <f t="shared" si="24"/>
        <v>24.227296807716986</v>
      </c>
      <c r="O117" s="47">
        <f t="shared" si="4"/>
        <v>4.1161425750937741E-8</v>
      </c>
      <c r="P117" s="47">
        <f t="shared" si="5"/>
        <v>603862.12898036081</v>
      </c>
      <c r="Q117" s="47">
        <f t="shared" si="6"/>
        <v>6.6075979054014256E-7</v>
      </c>
      <c r="R117" s="47">
        <f t="shared" si="7"/>
        <v>-6.9456473197951688E-2</v>
      </c>
      <c r="S117" s="47">
        <f t="shared" si="8"/>
        <v>0</v>
      </c>
      <c r="T117" s="47">
        <f t="shared" si="9"/>
        <v>1.9163005004625999E-7</v>
      </c>
      <c r="U117" s="47">
        <f t="shared" si="10"/>
        <v>1.4087740558675634</v>
      </c>
      <c r="V117" s="47">
        <f t="shared" si="11"/>
        <v>7.1924090219653977E-6</v>
      </c>
      <c r="W117" s="47">
        <f t="shared" si="12"/>
        <v>3.9086718627600526E-8</v>
      </c>
      <c r="X117" s="47">
        <f t="shared" si="25"/>
        <v>8.1250470069303384E-6</v>
      </c>
      <c r="Y117" s="47">
        <f t="shared" si="13"/>
        <v>1.6312356925042524</v>
      </c>
      <c r="Z117" s="47">
        <f t="shared" si="14"/>
        <v>3.5356382342827469E-6</v>
      </c>
      <c r="AA117" s="47">
        <f t="shared" si="15"/>
        <v>-4.9809154153909359E-6</v>
      </c>
      <c r="AB117" s="47">
        <f t="shared" si="26"/>
        <v>-8.9355126633734034E-7</v>
      </c>
      <c r="AC117" s="47">
        <f t="shared" si="16"/>
        <v>-5.5064355131559033E-8</v>
      </c>
    </row>
    <row r="118" spans="2:29">
      <c r="B118" s="97">
        <v>20</v>
      </c>
      <c r="C118" s="35">
        <f>$F$16</f>
        <v>169.70562748477141</v>
      </c>
      <c r="D118" s="35">
        <f t="shared" si="18"/>
        <v>120</v>
      </c>
      <c r="E118" s="33" t="b">
        <f t="shared" si="19"/>
        <v>1</v>
      </c>
      <c r="F118" s="36">
        <f t="shared" si="0"/>
        <v>1.4714496332359732E-10</v>
      </c>
      <c r="G118" s="35">
        <f t="shared" si="1"/>
        <v>1.5619174242019653</v>
      </c>
      <c r="H118" s="74">
        <f t="shared" si="2"/>
        <v>4.230317850588295E-6</v>
      </c>
      <c r="I118" s="74">
        <f t="shared" si="3"/>
        <v>8.6254936789373122E-6</v>
      </c>
      <c r="J118" s="35">
        <f t="shared" si="20"/>
        <v>0.63152705647119645</v>
      </c>
      <c r="K118" s="74">
        <f t="shared" si="21"/>
        <v>3.4704564868907635E-6</v>
      </c>
      <c r="L118" s="98">
        <f t="shared" si="22"/>
        <v>9.3170340540225691</v>
      </c>
      <c r="M118" s="35">
        <f t="shared" si="23"/>
        <v>0.49044356277465656</v>
      </c>
      <c r="N118" s="99">
        <f t="shared" si="24"/>
        <v>24.467647066485455</v>
      </c>
      <c r="O118" s="47">
        <f t="shared" si="4"/>
        <v>4.1119544191350057E-8</v>
      </c>
      <c r="P118" s="47">
        <f t="shared" si="5"/>
        <v>604477.18170613877</v>
      </c>
      <c r="Q118" s="47">
        <f t="shared" si="6"/>
        <v>6.6688747852010663E-7</v>
      </c>
      <c r="R118" s="47">
        <f t="shared" si="7"/>
        <v>-6.6928506482444791E-2</v>
      </c>
      <c r="S118" s="47">
        <f t="shared" si="8"/>
        <v>0</v>
      </c>
      <c r="T118" s="47">
        <f t="shared" si="9"/>
        <v>1.8127005390861837E-7</v>
      </c>
      <c r="U118" s="47">
        <f t="shared" si="10"/>
        <v>1.3944678490608748</v>
      </c>
      <c r="V118" s="47">
        <f t="shared" si="11"/>
        <v>7.0470718308130808E-6</v>
      </c>
      <c r="W118" s="47">
        <f t="shared" si="12"/>
        <v>3.9735705926495803E-8</v>
      </c>
      <c r="X118" s="47">
        <f t="shared" si="25"/>
        <v>7.9760846133596516E-6</v>
      </c>
      <c r="Y118" s="47">
        <f t="shared" si="13"/>
        <v>1.6177575122392054</v>
      </c>
      <c r="Z118" s="47">
        <f t="shared" si="14"/>
        <v>3.5356382342827469E-6</v>
      </c>
      <c r="AA118" s="47">
        <f t="shared" si="15"/>
        <v>-4.9303338436176514E-6</v>
      </c>
      <c r="AB118" s="47">
        <f t="shared" si="26"/>
        <v>-8.8927707662007498E-7</v>
      </c>
      <c r="AC118" s="47">
        <f t="shared" si="16"/>
        <v>-5.5410164374236061E-8</v>
      </c>
    </row>
    <row r="120" spans="2:29" ht="15.75">
      <c r="B120" s="157" t="s">
        <v>244</v>
      </c>
      <c r="C120" s="157"/>
      <c r="D120" s="157"/>
      <c r="E120" s="157"/>
      <c r="F120" s="157"/>
      <c r="G120" s="157"/>
      <c r="H120" s="157"/>
      <c r="I120" s="157"/>
      <c r="J120" s="157"/>
      <c r="K120" s="157"/>
      <c r="L120" s="157"/>
      <c r="M120" s="157"/>
    </row>
    <row r="121" spans="2:29" ht="15.75">
      <c r="B121" s="73" t="s">
        <v>245</v>
      </c>
      <c r="C121" s="73" t="s">
        <v>302</v>
      </c>
      <c r="D121" s="35">
        <f>G98</f>
        <v>1.9904507398605347</v>
      </c>
      <c r="E121" s="37" t="s">
        <v>122</v>
      </c>
      <c r="H121" s="154" t="s">
        <v>370</v>
      </c>
      <c r="I121" s="154"/>
      <c r="J121" s="154"/>
      <c r="K121" s="154"/>
      <c r="L121" s="154"/>
      <c r="M121" s="154"/>
    </row>
    <row r="122" spans="2:29" ht="15.75">
      <c r="B122" s="73"/>
      <c r="C122" s="73" t="s">
        <v>300</v>
      </c>
      <c r="D122" s="100">
        <f>($C$61)*(C59*(1/C90+1/C91)-(-1/C85)*C98/C90)</f>
        <v>1.2792480580529683E-4</v>
      </c>
      <c r="E122" s="37" t="s">
        <v>122</v>
      </c>
      <c r="H122" s="154" t="s">
        <v>371</v>
      </c>
      <c r="I122" s="154"/>
      <c r="J122" s="154"/>
      <c r="K122" s="154"/>
      <c r="L122" s="154"/>
      <c r="M122" s="154"/>
    </row>
    <row r="123" spans="2:29">
      <c r="B123" s="73"/>
      <c r="C123" s="73"/>
      <c r="H123" s="155"/>
      <c r="I123" s="155"/>
      <c r="J123" s="155"/>
      <c r="K123" s="155"/>
      <c r="L123" s="155"/>
      <c r="M123" s="155"/>
    </row>
    <row r="124" spans="2:29" ht="15.75">
      <c r="B124" s="73" t="s">
        <v>246</v>
      </c>
      <c r="C124" s="73" t="s">
        <v>303</v>
      </c>
      <c r="D124" s="35">
        <f>G118</f>
        <v>1.5619174242019653</v>
      </c>
      <c r="E124" s="37" t="s">
        <v>122</v>
      </c>
      <c r="H124" s="154" t="s">
        <v>372</v>
      </c>
      <c r="I124" s="154"/>
      <c r="J124" s="154"/>
      <c r="K124" s="154"/>
      <c r="L124" s="154"/>
      <c r="M124" s="154"/>
    </row>
    <row r="125" spans="2:29" ht="15.75">
      <c r="B125" s="73"/>
      <c r="C125" s="73" t="s">
        <v>301</v>
      </c>
      <c r="D125" s="100">
        <f>($C$61)*(C59*(1/C90+1/C91)-(-1/C85)*C118/C90)</f>
        <v>2.0419817267256361E-4</v>
      </c>
      <c r="E125" s="37" t="s">
        <v>122</v>
      </c>
      <c r="H125" s="154" t="s">
        <v>381</v>
      </c>
      <c r="I125" s="154"/>
      <c r="J125" s="154"/>
      <c r="K125" s="154"/>
      <c r="L125" s="154"/>
      <c r="M125" s="154"/>
    </row>
    <row r="126" spans="2:29">
      <c r="D126" s="101"/>
      <c r="H126" s="102"/>
      <c r="I126" s="102"/>
      <c r="J126" s="102"/>
      <c r="K126" s="102"/>
      <c r="L126" s="102"/>
      <c r="M126" s="102"/>
    </row>
    <row r="127" spans="2:29">
      <c r="D127" s="101"/>
      <c r="H127" s="83"/>
      <c r="I127" s="83"/>
      <c r="J127" s="83"/>
      <c r="K127" s="83"/>
      <c r="L127" s="83"/>
      <c r="M127" s="83"/>
    </row>
    <row r="128" spans="2:29" ht="14.25">
      <c r="B128" s="78" t="s">
        <v>310</v>
      </c>
      <c r="D128" s="101"/>
      <c r="H128" s="83"/>
      <c r="I128" s="83"/>
      <c r="J128" s="83"/>
      <c r="K128" s="83"/>
      <c r="L128" s="83"/>
      <c r="M128" s="83"/>
    </row>
    <row r="129" spans="2:13" ht="86.25" customHeight="1">
      <c r="B129" s="73" t="s">
        <v>305</v>
      </c>
      <c r="C129" s="35">
        <f>C53*(D122-D125)/(D124*D122-D121*D125)</f>
        <v>0.29529210147516372</v>
      </c>
      <c r="D129" s="91" t="s">
        <v>107</v>
      </c>
      <c r="E129" s="73" t="s">
        <v>306</v>
      </c>
      <c r="F129" s="35">
        <f>D121*C129</f>
        <v>0.58776438185621172</v>
      </c>
      <c r="G129" s="37" t="s">
        <v>111</v>
      </c>
      <c r="H129" s="73" t="s">
        <v>308</v>
      </c>
      <c r="I129" s="35">
        <f>(1/2)*(H98/I98)*F129*D121</f>
        <v>0.35545778565498726</v>
      </c>
      <c r="J129" s="37" t="s">
        <v>107</v>
      </c>
      <c r="K129" s="156" t="s">
        <v>421</v>
      </c>
      <c r="L129" s="156"/>
      <c r="M129" s="156"/>
    </row>
    <row r="130" spans="2:13" ht="97.5" customHeight="1">
      <c r="B130" s="73" t="s">
        <v>216</v>
      </c>
      <c r="C130" s="103">
        <f>C53*(D121-D124)/(D121*D125-D124*D122)</f>
        <v>1659.0653924213377</v>
      </c>
      <c r="D130" s="91" t="s">
        <v>107</v>
      </c>
      <c r="E130" s="73" t="s">
        <v>307</v>
      </c>
      <c r="F130" s="35">
        <f>D122*C130</f>
        <v>0.21223561814378819</v>
      </c>
      <c r="G130" s="37" t="s">
        <v>111</v>
      </c>
      <c r="H130" s="73" t="s">
        <v>309</v>
      </c>
      <c r="I130" s="35">
        <f>D125*C130</f>
        <v>0.33877812147672681</v>
      </c>
      <c r="J130" s="37" t="s">
        <v>111</v>
      </c>
      <c r="K130" s="156" t="s">
        <v>461</v>
      </c>
      <c r="L130" s="156"/>
      <c r="M130" s="156"/>
    </row>
    <row r="131" spans="2:13">
      <c r="C131" s="101"/>
      <c r="E131" s="101"/>
      <c r="G131" s="101"/>
      <c r="H131" s="83"/>
      <c r="I131" s="83"/>
      <c r="J131" s="83"/>
      <c r="K131" s="83"/>
      <c r="L131" s="83"/>
      <c r="M131" s="83"/>
    </row>
    <row r="132" spans="2:13">
      <c r="C132" s="101"/>
      <c r="E132" s="101"/>
      <c r="G132" s="101"/>
      <c r="H132" s="83"/>
      <c r="I132" s="104"/>
      <c r="J132" s="83"/>
      <c r="K132" s="83"/>
      <c r="L132" s="83"/>
      <c r="M132" s="83"/>
    </row>
    <row r="133" spans="2:13">
      <c r="B133" s="78" t="s">
        <v>242</v>
      </c>
      <c r="C133" s="101"/>
      <c r="E133" s="101"/>
      <c r="G133" s="101"/>
      <c r="H133" s="83"/>
      <c r="I133" s="104"/>
      <c r="J133" s="83"/>
      <c r="K133" s="83"/>
      <c r="L133" s="83"/>
      <c r="M133" s="83"/>
    </row>
    <row r="134" spans="2:13" ht="31.5" customHeight="1">
      <c r="B134" s="73" t="s">
        <v>214</v>
      </c>
      <c r="C134" s="74">
        <f>(C87*(D124^2))/(((C71+C72)^2)-(C71^2))</f>
        <v>5.2407329332504025E-10</v>
      </c>
      <c r="D134" s="37" t="s">
        <v>116</v>
      </c>
      <c r="E134" s="101"/>
      <c r="G134" s="101"/>
      <c r="H134" s="156" t="s">
        <v>375</v>
      </c>
      <c r="I134" s="156"/>
      <c r="J134" s="156"/>
      <c r="K134" s="156"/>
      <c r="L134" s="156"/>
      <c r="M134" s="156"/>
    </row>
    <row r="135" spans="2:13" ht="15.75">
      <c r="B135" s="73" t="s">
        <v>243</v>
      </c>
      <c r="C135" s="103">
        <f>C87*D124/((C26/100)*C71)</f>
        <v>1.7352282434453818E-7</v>
      </c>
      <c r="D135" s="37" t="s">
        <v>114</v>
      </c>
      <c r="E135" s="101"/>
      <c r="G135" s="101"/>
      <c r="H135" s="154" t="s">
        <v>450</v>
      </c>
      <c r="I135" s="154"/>
      <c r="J135" s="154"/>
      <c r="K135" s="154"/>
      <c r="L135" s="154"/>
      <c r="M135" s="154"/>
    </row>
    <row r="136" spans="2:13" ht="31.5" customHeight="1">
      <c r="B136" s="73" t="s">
        <v>215</v>
      </c>
      <c r="C136" s="103">
        <f>(I118-C135)*((1/2)+(C71/C72))/C134</f>
        <v>40318.648947785157</v>
      </c>
      <c r="D136" s="91" t="s">
        <v>107</v>
      </c>
      <c r="E136" s="73" t="s">
        <v>311</v>
      </c>
      <c r="F136" s="35">
        <f>((C71+C72/2)^2)*(1+(1/3)*((1/(C71/C72+1/2))^2))/C136</f>
        <v>1.7468079655951889</v>
      </c>
      <c r="G136" s="105" t="s">
        <v>107</v>
      </c>
      <c r="H136" s="159" t="s">
        <v>376</v>
      </c>
      <c r="I136" s="159"/>
      <c r="J136" s="159"/>
      <c r="K136" s="159"/>
      <c r="L136" s="159"/>
      <c r="M136" s="159"/>
    </row>
    <row r="137" spans="2:13" ht="28.5" customHeight="1">
      <c r="B137" s="73" t="s">
        <v>312</v>
      </c>
      <c r="C137" s="35">
        <f>SQRT(C87/C134)</f>
        <v>148.07426206375769</v>
      </c>
      <c r="D137" s="91" t="s">
        <v>107</v>
      </c>
      <c r="G137" s="101"/>
      <c r="H137" s="159" t="s">
        <v>377</v>
      </c>
      <c r="I137" s="159"/>
      <c r="J137" s="159"/>
      <c r="K137" s="159"/>
      <c r="L137" s="159"/>
      <c r="M137" s="159"/>
    </row>
    <row r="138" spans="2:13">
      <c r="C138" s="101"/>
      <c r="E138" s="101"/>
      <c r="G138" s="101"/>
      <c r="H138" s="155"/>
      <c r="I138" s="155"/>
      <c r="J138" s="155"/>
      <c r="K138" s="155"/>
      <c r="L138" s="155"/>
      <c r="M138" s="155"/>
    </row>
    <row r="139" spans="2:13">
      <c r="B139" s="78" t="s">
        <v>63</v>
      </c>
      <c r="C139" s="101"/>
      <c r="E139" s="101"/>
      <c r="G139" s="101"/>
      <c r="H139" s="155"/>
      <c r="I139" s="155"/>
      <c r="J139" s="155"/>
      <c r="K139" s="155"/>
      <c r="L139" s="155"/>
      <c r="M139" s="155"/>
    </row>
    <row r="140" spans="2:13" ht="15.75">
      <c r="B140" s="73" t="s">
        <v>221</v>
      </c>
      <c r="C140" s="103">
        <f>(C22/C19)*(1/C24)*(1/C23)</f>
        <v>2.4074074074074076E-3</v>
      </c>
      <c r="D140" s="37" t="s">
        <v>116</v>
      </c>
      <c r="E140" s="101"/>
      <c r="G140" s="101"/>
      <c r="H140" s="154" t="s">
        <v>448</v>
      </c>
      <c r="I140" s="154"/>
      <c r="J140" s="154"/>
      <c r="K140" s="154"/>
      <c r="L140" s="154"/>
      <c r="M140" s="154"/>
    </row>
    <row r="141" spans="2:13" ht="15.75">
      <c r="B141" s="73" t="s">
        <v>74</v>
      </c>
      <c r="C141" s="103">
        <f>C20/(C84*D121)</f>
        <v>3.0843925585523845E-3</v>
      </c>
      <c r="D141" s="91" t="s">
        <v>107</v>
      </c>
      <c r="E141" s="101"/>
      <c r="G141" s="101"/>
      <c r="H141" s="154" t="s">
        <v>453</v>
      </c>
      <c r="I141" s="154"/>
      <c r="J141" s="154"/>
      <c r="K141" s="154"/>
      <c r="L141" s="154"/>
      <c r="M141" s="154"/>
    </row>
    <row r="142" spans="2:13" ht="30.75" customHeight="1">
      <c r="B142" s="81" t="s">
        <v>235</v>
      </c>
      <c r="C142" s="35">
        <f>SQRT((L98^2)-((C10/C19)^2))</f>
        <v>9.5836351288438362</v>
      </c>
      <c r="D142" s="37" t="s">
        <v>122</v>
      </c>
      <c r="E142" s="101"/>
      <c r="G142" s="101"/>
      <c r="H142" s="154" t="s">
        <v>454</v>
      </c>
      <c r="I142" s="154"/>
      <c r="J142" s="154"/>
      <c r="K142" s="154"/>
      <c r="L142" s="154"/>
      <c r="M142" s="154"/>
    </row>
    <row r="143" spans="2:13" ht="29.25" customHeight="1">
      <c r="B143" s="81" t="s">
        <v>236</v>
      </c>
      <c r="C143" s="35">
        <f>SQRT((L118^2)-((C10/C19)^2))</f>
        <v>8.2479904089443785</v>
      </c>
      <c r="D143" s="37" t="s">
        <v>122</v>
      </c>
      <c r="E143" s="101"/>
      <c r="G143" s="101"/>
      <c r="H143" s="154" t="s">
        <v>455</v>
      </c>
      <c r="I143" s="154"/>
      <c r="J143" s="154"/>
      <c r="K143" s="154"/>
      <c r="L143" s="154"/>
      <c r="M143" s="154"/>
    </row>
    <row r="144" spans="2:13">
      <c r="C144" s="101"/>
      <c r="E144" s="101"/>
      <c r="G144" s="101"/>
      <c r="H144" s="155"/>
      <c r="I144" s="155"/>
      <c r="J144" s="155"/>
      <c r="K144" s="155"/>
      <c r="L144" s="155"/>
      <c r="M144" s="155"/>
    </row>
    <row r="145" spans="2:13">
      <c r="C145" s="101"/>
      <c r="E145" s="101"/>
      <c r="G145" s="101"/>
      <c r="H145" s="155"/>
      <c r="I145" s="155"/>
      <c r="J145" s="155"/>
      <c r="K145" s="155"/>
      <c r="L145" s="155"/>
      <c r="M145" s="155"/>
    </row>
    <row r="146" spans="2:13">
      <c r="B146" s="78" t="s">
        <v>75</v>
      </c>
      <c r="C146" s="101"/>
      <c r="E146" s="101"/>
      <c r="G146" s="101"/>
      <c r="H146" s="155"/>
      <c r="I146" s="155"/>
      <c r="J146" s="155"/>
      <c r="K146" s="155"/>
      <c r="L146" s="155"/>
      <c r="M146" s="155"/>
    </row>
    <row r="147" spans="2:13">
      <c r="B147" s="37" t="s">
        <v>76</v>
      </c>
      <c r="C147" s="101" t="b">
        <f>IF(C11=0, TRUE, FALSE)</f>
        <v>0</v>
      </c>
      <c r="E147" s="101"/>
      <c r="G147" s="101"/>
      <c r="H147" s="158"/>
      <c r="I147" s="158"/>
      <c r="J147" s="158"/>
      <c r="K147" s="158"/>
      <c r="L147" s="158"/>
      <c r="M147" s="158"/>
    </row>
    <row r="148" spans="2:13" ht="15.75">
      <c r="B148" s="37" t="s">
        <v>234</v>
      </c>
      <c r="C148" s="103">
        <f>IF(C11=0,C140*(C19^2)/(2*C10),(-0.5*F11*C140*LN(1-(((C19-C23)^2)/(F11*C10)))))</f>
        <v>7.7596763365944546E-3</v>
      </c>
      <c r="D148" s="37" t="s">
        <v>114</v>
      </c>
      <c r="E148" s="101"/>
      <c r="G148" s="101"/>
      <c r="H148" s="154" t="s">
        <v>449</v>
      </c>
      <c r="I148" s="154"/>
      <c r="J148" s="154"/>
      <c r="K148" s="154"/>
      <c r="L148" s="154"/>
      <c r="M148" s="154"/>
    </row>
    <row r="149" spans="2:13" ht="15.75">
      <c r="B149" s="37" t="s">
        <v>233</v>
      </c>
      <c r="C149" s="103">
        <f>(C148/(C53*C50))*C66</f>
        <v>2.3279029009783368E-8</v>
      </c>
      <c r="D149" s="37" t="s">
        <v>116</v>
      </c>
      <c r="E149" s="101"/>
      <c r="G149" s="101"/>
      <c r="H149" s="154" t="s">
        <v>378</v>
      </c>
      <c r="I149" s="154"/>
      <c r="J149" s="154"/>
      <c r="K149" s="154"/>
      <c r="L149" s="154"/>
      <c r="M149" s="154"/>
    </row>
    <row r="150" spans="2:13">
      <c r="H150" s="155"/>
      <c r="I150" s="155"/>
      <c r="J150" s="155"/>
      <c r="K150" s="155"/>
      <c r="L150" s="155"/>
      <c r="M150" s="155"/>
    </row>
    <row r="151" spans="2:13">
      <c r="B151" s="78" t="s">
        <v>61</v>
      </c>
      <c r="H151" s="155"/>
      <c r="I151" s="155"/>
      <c r="J151" s="155"/>
      <c r="K151" s="155"/>
      <c r="L151" s="155"/>
      <c r="M151" s="155"/>
    </row>
    <row r="152" spans="2:13" ht="31.5" customHeight="1">
      <c r="B152" s="37" t="s">
        <v>62</v>
      </c>
      <c r="C152" s="37" t="s">
        <v>231</v>
      </c>
      <c r="D152" s="36">
        <f>C88</f>
        <v>4.7112379471817603E-4</v>
      </c>
      <c r="E152" s="37" t="s">
        <v>120</v>
      </c>
      <c r="H152" s="156" t="s">
        <v>379</v>
      </c>
      <c r="I152" s="156"/>
      <c r="J152" s="156"/>
      <c r="K152" s="156"/>
      <c r="L152" s="156"/>
      <c r="M152" s="156"/>
    </row>
    <row r="153" spans="2:13" ht="30.75" customHeight="1">
      <c r="C153" s="37" t="s">
        <v>229</v>
      </c>
      <c r="D153" s="36">
        <f>C87</f>
        <v>1.1490824261418927E-5</v>
      </c>
      <c r="E153" s="37" t="s">
        <v>120</v>
      </c>
      <c r="H153" s="156" t="s">
        <v>380</v>
      </c>
      <c r="I153" s="156"/>
      <c r="J153" s="156"/>
      <c r="K153" s="156"/>
      <c r="L153" s="156"/>
      <c r="M153" s="156"/>
    </row>
    <row r="154" spans="2:13" ht="31.5" customHeight="1">
      <c r="C154" s="37" t="s">
        <v>230</v>
      </c>
      <c r="D154" s="35">
        <f>C84</f>
        <v>16.288418504736409</v>
      </c>
      <c r="E154" s="37" t="s">
        <v>121</v>
      </c>
      <c r="H154" s="156" t="s">
        <v>382</v>
      </c>
      <c r="I154" s="156"/>
      <c r="J154" s="156"/>
      <c r="K154" s="156"/>
      <c r="L154" s="156"/>
      <c r="M154" s="156"/>
    </row>
    <row r="155" spans="2:13" ht="15.75">
      <c r="C155" s="37" t="s">
        <v>228</v>
      </c>
      <c r="D155" s="35">
        <f>J98</f>
        <v>0.89582354066580261</v>
      </c>
      <c r="E155" s="37" t="s">
        <v>313</v>
      </c>
      <c r="H155" s="154" t="s">
        <v>384</v>
      </c>
      <c r="I155" s="154"/>
      <c r="J155" s="154"/>
      <c r="K155" s="154"/>
      <c r="L155" s="154"/>
      <c r="M155" s="154"/>
    </row>
    <row r="156" spans="2:13" ht="15.75">
      <c r="C156" s="37" t="s">
        <v>227</v>
      </c>
      <c r="D156" s="35">
        <f>G98</f>
        <v>1.9904507398605347</v>
      </c>
      <c r="E156" s="37" t="s">
        <v>314</v>
      </c>
      <c r="H156" s="154" t="s">
        <v>385</v>
      </c>
      <c r="I156" s="154"/>
      <c r="J156" s="154"/>
      <c r="K156" s="154"/>
      <c r="L156" s="154"/>
      <c r="M156" s="154"/>
    </row>
    <row r="157" spans="2:13" ht="33" customHeight="1">
      <c r="C157" s="77" t="s">
        <v>226</v>
      </c>
      <c r="D157" s="35">
        <f>L98</f>
        <v>10.517786842325119</v>
      </c>
      <c r="E157" s="77" t="s">
        <v>315</v>
      </c>
      <c r="H157" s="156" t="s">
        <v>11</v>
      </c>
      <c r="I157" s="156"/>
      <c r="J157" s="156"/>
      <c r="K157" s="156"/>
      <c r="L157" s="156"/>
      <c r="M157" s="156"/>
    </row>
    <row r="158" spans="2:13" ht="31.5" customHeight="1">
      <c r="C158" s="77" t="s">
        <v>225</v>
      </c>
      <c r="D158" s="35">
        <f>L118</f>
        <v>9.3170340540225691</v>
      </c>
      <c r="E158" s="77" t="s">
        <v>232</v>
      </c>
      <c r="H158" s="156" t="s">
        <v>452</v>
      </c>
      <c r="I158" s="156"/>
      <c r="J158" s="156"/>
      <c r="K158" s="156"/>
      <c r="L158" s="156"/>
      <c r="M158" s="156"/>
    </row>
    <row r="159" spans="2:13">
      <c r="D159" s="33"/>
      <c r="H159" s="155"/>
      <c r="I159" s="155"/>
      <c r="J159" s="155"/>
      <c r="K159" s="155"/>
      <c r="L159" s="155"/>
      <c r="M159" s="155"/>
    </row>
    <row r="160" spans="2:13" ht="15.75">
      <c r="B160" s="37" t="s">
        <v>224</v>
      </c>
      <c r="C160" s="37" t="s">
        <v>223</v>
      </c>
      <c r="D160" s="33">
        <f>C30</f>
        <v>600</v>
      </c>
      <c r="E160" s="37" t="s">
        <v>111</v>
      </c>
      <c r="H160" s="154" t="s">
        <v>387</v>
      </c>
      <c r="I160" s="154"/>
      <c r="J160" s="154"/>
      <c r="K160" s="154"/>
      <c r="L160" s="154"/>
      <c r="M160" s="154"/>
    </row>
    <row r="161" spans="2:13" ht="15.75">
      <c r="C161" s="37" t="s">
        <v>386</v>
      </c>
      <c r="D161" s="33">
        <f>C32</f>
        <v>480</v>
      </c>
      <c r="E161" s="37" t="s">
        <v>111</v>
      </c>
      <c r="H161" s="154" t="s">
        <v>460</v>
      </c>
      <c r="I161" s="154"/>
      <c r="J161" s="154"/>
      <c r="K161" s="154"/>
      <c r="L161" s="154"/>
      <c r="M161" s="154"/>
    </row>
    <row r="162" spans="2:13" ht="15.75">
      <c r="C162" s="37" t="s">
        <v>222</v>
      </c>
      <c r="D162" s="35">
        <f>D155</f>
        <v>0.89582354066580261</v>
      </c>
      <c r="E162" s="37" t="s">
        <v>122</v>
      </c>
      <c r="H162" s="154" t="s">
        <v>388</v>
      </c>
      <c r="I162" s="154"/>
      <c r="J162" s="154"/>
      <c r="K162" s="154"/>
      <c r="L162" s="154"/>
      <c r="M162" s="154"/>
    </row>
    <row r="163" spans="2:13">
      <c r="D163" s="33"/>
      <c r="H163" s="155"/>
      <c r="I163" s="155"/>
      <c r="J163" s="155"/>
      <c r="K163" s="155"/>
      <c r="L163" s="155"/>
      <c r="M163" s="155"/>
    </row>
    <row r="164" spans="2:13" ht="15.75">
      <c r="B164" s="37" t="s">
        <v>211</v>
      </c>
      <c r="C164" s="37" t="s">
        <v>221</v>
      </c>
      <c r="D164" s="36">
        <f>C140</f>
        <v>2.4074074074074076E-3</v>
      </c>
      <c r="E164" s="37" t="s">
        <v>116</v>
      </c>
      <c r="H164" s="154" t="s">
        <v>448</v>
      </c>
      <c r="I164" s="154"/>
      <c r="J164" s="154"/>
      <c r="K164" s="154"/>
      <c r="L164" s="154"/>
      <c r="M164" s="154"/>
    </row>
    <row r="165" spans="2:13">
      <c r="C165" s="37" t="s">
        <v>74</v>
      </c>
      <c r="D165" s="36">
        <f>C141</f>
        <v>3.0843925585523845E-3</v>
      </c>
      <c r="E165" s="91" t="s">
        <v>107</v>
      </c>
      <c r="H165" s="154" t="s">
        <v>389</v>
      </c>
      <c r="I165" s="154"/>
      <c r="J165" s="154"/>
      <c r="K165" s="154"/>
      <c r="L165" s="154"/>
      <c r="M165" s="154"/>
    </row>
    <row r="166" spans="2:13" ht="25.5" customHeight="1">
      <c r="C166" s="77" t="s">
        <v>82</v>
      </c>
      <c r="D166" s="35">
        <f>C142</f>
        <v>9.5836351288438362</v>
      </c>
      <c r="E166" s="77" t="s">
        <v>313</v>
      </c>
      <c r="H166" s="156" t="s">
        <v>390</v>
      </c>
      <c r="I166" s="156"/>
      <c r="J166" s="156"/>
      <c r="K166" s="156"/>
      <c r="L166" s="156"/>
      <c r="M166" s="156"/>
    </row>
    <row r="167" spans="2:13" ht="38.25" customHeight="1">
      <c r="C167" s="77" t="s">
        <v>83</v>
      </c>
      <c r="D167" s="35">
        <f>C143</f>
        <v>8.2479904089443785</v>
      </c>
      <c r="E167" s="77" t="s">
        <v>313</v>
      </c>
      <c r="H167" s="156" t="s">
        <v>391</v>
      </c>
      <c r="I167" s="156"/>
      <c r="J167" s="156"/>
      <c r="K167" s="156"/>
      <c r="L167" s="156"/>
      <c r="M167" s="156"/>
    </row>
    <row r="168" spans="2:13">
      <c r="D168" s="33"/>
      <c r="H168" s="155"/>
      <c r="I168" s="155"/>
      <c r="J168" s="155"/>
      <c r="K168" s="155"/>
      <c r="L168" s="155"/>
      <c r="M168" s="155"/>
    </row>
    <row r="169" spans="2:13" ht="15.75">
      <c r="B169" s="37" t="s">
        <v>64</v>
      </c>
      <c r="C169" s="37" t="s">
        <v>218</v>
      </c>
      <c r="D169" s="33">
        <f>C43</f>
        <v>0.7</v>
      </c>
      <c r="E169" s="37" t="s">
        <v>111</v>
      </c>
      <c r="H169" s="154" t="s">
        <v>392</v>
      </c>
      <c r="I169" s="154"/>
      <c r="J169" s="154"/>
      <c r="K169" s="154"/>
      <c r="L169" s="154"/>
      <c r="M169" s="154"/>
    </row>
    <row r="170" spans="2:13" ht="15.75">
      <c r="C170" s="37" t="s">
        <v>220</v>
      </c>
      <c r="D170" s="35">
        <f>C10/C19</f>
        <v>4.333333333333333</v>
      </c>
      <c r="E170" s="37" t="s">
        <v>122</v>
      </c>
      <c r="H170" s="154" t="s">
        <v>393</v>
      </c>
      <c r="I170" s="154"/>
      <c r="J170" s="154"/>
      <c r="K170" s="154"/>
      <c r="L170" s="154"/>
      <c r="M170" s="154"/>
    </row>
    <row r="171" spans="2:13" ht="15.75">
      <c r="C171" s="37" t="s">
        <v>500</v>
      </c>
      <c r="D171" s="35">
        <f>L98</f>
        <v>10.517786842325119</v>
      </c>
      <c r="E171" s="37" t="s">
        <v>122</v>
      </c>
      <c r="H171" s="154" t="s">
        <v>502</v>
      </c>
      <c r="I171" s="154"/>
      <c r="J171" s="154"/>
      <c r="K171" s="154"/>
      <c r="L171" s="154"/>
      <c r="M171" s="154"/>
    </row>
    <row r="172" spans="2:13" ht="15.75">
      <c r="C172" s="37" t="s">
        <v>501</v>
      </c>
      <c r="D172" s="35">
        <f>G98*C84</f>
        <v>32.421294663910608</v>
      </c>
      <c r="E172" s="37" t="s">
        <v>122</v>
      </c>
      <c r="H172" s="154" t="s">
        <v>503</v>
      </c>
      <c r="I172" s="154"/>
      <c r="J172" s="154"/>
      <c r="K172" s="154"/>
      <c r="L172" s="154"/>
      <c r="M172" s="154"/>
    </row>
    <row r="173" spans="2:13" ht="15.75">
      <c r="C173" s="37" t="s">
        <v>219</v>
      </c>
      <c r="D173" s="35">
        <f>D169*D170</f>
        <v>3.0333333333333328</v>
      </c>
      <c r="E173" s="37" t="s">
        <v>107</v>
      </c>
      <c r="H173" s="168" t="s">
        <v>394</v>
      </c>
      <c r="I173" s="168"/>
      <c r="J173" s="168"/>
      <c r="K173" s="168"/>
      <c r="L173" s="168"/>
      <c r="M173" s="168"/>
    </row>
    <row r="174" spans="2:13" ht="15.75">
      <c r="C174" s="37" t="s">
        <v>217</v>
      </c>
      <c r="D174" s="35">
        <f>(F16/D154)+C19</f>
        <v>22.418790960916418</v>
      </c>
      <c r="E174" s="37" t="s">
        <v>111</v>
      </c>
      <c r="H174" s="154" t="s">
        <v>395</v>
      </c>
      <c r="I174" s="154"/>
      <c r="J174" s="154"/>
      <c r="K174" s="154"/>
      <c r="L174" s="154"/>
      <c r="M174" s="154"/>
    </row>
    <row r="175" spans="2:13">
      <c r="H175" s="155"/>
      <c r="I175" s="155"/>
      <c r="J175" s="155"/>
      <c r="K175" s="155"/>
      <c r="L175" s="155"/>
      <c r="M175" s="155"/>
    </row>
    <row r="176" spans="2:13" ht="15.75" customHeight="1">
      <c r="B176" s="37" t="s">
        <v>65</v>
      </c>
      <c r="C176" s="37" t="s">
        <v>316</v>
      </c>
      <c r="D176" s="36">
        <f>C129</f>
        <v>0.29529210147516372</v>
      </c>
      <c r="E176" s="91" t="s">
        <v>107</v>
      </c>
      <c r="H176" s="156" t="s">
        <v>396</v>
      </c>
      <c r="I176" s="156"/>
      <c r="J176" s="156"/>
      <c r="K176" s="156"/>
      <c r="L176" s="156"/>
      <c r="M176" s="156"/>
    </row>
    <row r="177" spans="2:13">
      <c r="C177" s="37" t="s">
        <v>70</v>
      </c>
      <c r="D177" s="35">
        <f>I129</f>
        <v>0.35545778565498726</v>
      </c>
      <c r="E177" s="37" t="s">
        <v>107</v>
      </c>
      <c r="H177" s="154" t="s">
        <v>397</v>
      </c>
      <c r="I177" s="154"/>
      <c r="J177" s="154"/>
      <c r="K177" s="154"/>
      <c r="L177" s="154"/>
      <c r="M177" s="154"/>
    </row>
    <row r="178" spans="2:13">
      <c r="D178" s="101"/>
      <c r="H178" s="155"/>
      <c r="I178" s="155"/>
      <c r="J178" s="155"/>
      <c r="K178" s="155"/>
      <c r="L178" s="155"/>
      <c r="M178" s="155"/>
    </row>
    <row r="179" spans="2:13" ht="15.75">
      <c r="B179" s="37" t="s">
        <v>79</v>
      </c>
      <c r="C179" s="37" t="s">
        <v>216</v>
      </c>
      <c r="D179" s="36">
        <f>C130</f>
        <v>1659.0653924213377</v>
      </c>
      <c r="E179" s="91" t="s">
        <v>107</v>
      </c>
      <c r="H179" s="154" t="s">
        <v>398</v>
      </c>
      <c r="I179" s="154"/>
      <c r="J179" s="154"/>
      <c r="K179" s="154"/>
      <c r="L179" s="154"/>
      <c r="M179" s="154"/>
    </row>
    <row r="180" spans="2:13">
      <c r="D180" s="101"/>
      <c r="H180" s="155"/>
      <c r="I180" s="155"/>
      <c r="J180" s="155"/>
      <c r="K180" s="155"/>
      <c r="L180" s="155"/>
      <c r="M180" s="155"/>
    </row>
    <row r="181" spans="2:13" ht="31.5" customHeight="1">
      <c r="B181" s="37" t="s">
        <v>317</v>
      </c>
      <c r="C181" s="37" t="s">
        <v>214</v>
      </c>
      <c r="D181" s="36">
        <f>C134</f>
        <v>5.2407329332504025E-10</v>
      </c>
      <c r="E181" s="37" t="s">
        <v>116</v>
      </c>
      <c r="H181" s="156" t="s">
        <v>375</v>
      </c>
      <c r="I181" s="156"/>
      <c r="J181" s="156"/>
      <c r="K181" s="156"/>
      <c r="L181" s="156"/>
      <c r="M181" s="156"/>
    </row>
    <row r="182" spans="2:13" ht="32.25" customHeight="1">
      <c r="C182" s="37" t="s">
        <v>215</v>
      </c>
      <c r="D182" s="36">
        <f>C136</f>
        <v>40318.648947785157</v>
      </c>
      <c r="E182" s="91" t="s">
        <v>107</v>
      </c>
      <c r="H182" s="159" t="s">
        <v>404</v>
      </c>
      <c r="I182" s="159"/>
      <c r="J182" s="159"/>
      <c r="K182" s="159"/>
      <c r="L182" s="159"/>
      <c r="M182" s="159"/>
    </row>
    <row r="183" spans="2:13" ht="15.75">
      <c r="C183" s="37" t="s">
        <v>311</v>
      </c>
      <c r="D183" s="35">
        <f>F136</f>
        <v>1.7468079655951889</v>
      </c>
      <c r="E183" s="37" t="s">
        <v>107</v>
      </c>
      <c r="H183" s="154" t="s">
        <v>399</v>
      </c>
      <c r="I183" s="154"/>
      <c r="J183" s="154"/>
      <c r="K183" s="154"/>
      <c r="L183" s="154"/>
      <c r="M183" s="154"/>
    </row>
    <row r="184" spans="2:13" ht="32.25" customHeight="1">
      <c r="C184" s="106" t="s">
        <v>312</v>
      </c>
      <c r="D184" s="35">
        <f>SQRT(C87/C134)</f>
        <v>148.07426206375769</v>
      </c>
      <c r="E184" s="91" t="s">
        <v>107</v>
      </c>
      <c r="H184" s="159" t="s">
        <v>377</v>
      </c>
      <c r="I184" s="159"/>
      <c r="J184" s="159"/>
      <c r="K184" s="159"/>
      <c r="L184" s="159"/>
      <c r="M184" s="159"/>
    </row>
    <row r="185" spans="2:13" ht="33" customHeight="1">
      <c r="B185" s="37" t="s">
        <v>71</v>
      </c>
      <c r="C185" s="37" t="s">
        <v>132</v>
      </c>
      <c r="D185" s="36">
        <f>C90</f>
        <v>41738.284161758245</v>
      </c>
      <c r="E185" s="91" t="s">
        <v>107</v>
      </c>
      <c r="H185" s="156" t="s">
        <v>403</v>
      </c>
      <c r="I185" s="156"/>
      <c r="J185" s="156"/>
      <c r="K185" s="156"/>
      <c r="L185" s="156"/>
      <c r="M185" s="156"/>
    </row>
    <row r="186" spans="2:13" ht="30" customHeight="1">
      <c r="C186" s="37" t="s">
        <v>133</v>
      </c>
      <c r="D186" s="36">
        <f>C91</f>
        <v>3550.515665934066</v>
      </c>
      <c r="E186" s="91" t="s">
        <v>107</v>
      </c>
      <c r="H186" s="156" t="s">
        <v>402</v>
      </c>
      <c r="I186" s="156"/>
      <c r="J186" s="156"/>
      <c r="K186" s="156"/>
      <c r="L186" s="156"/>
      <c r="M186" s="156"/>
    </row>
    <row r="187" spans="2:13">
      <c r="D187" s="107"/>
      <c r="H187" s="155"/>
      <c r="I187" s="155"/>
      <c r="J187" s="155"/>
      <c r="K187" s="155"/>
      <c r="L187" s="155"/>
      <c r="M187" s="155"/>
    </row>
    <row r="188" spans="2:13" ht="15.75">
      <c r="B188" s="37" t="s">
        <v>77</v>
      </c>
      <c r="C188" s="37" t="s">
        <v>213</v>
      </c>
      <c r="D188" s="36">
        <f>C149</f>
        <v>2.3279029009783368E-8</v>
      </c>
      <c r="E188" s="37" t="s">
        <v>116</v>
      </c>
      <c r="H188" s="154" t="s">
        <v>400</v>
      </c>
      <c r="I188" s="154"/>
      <c r="J188" s="154"/>
      <c r="K188" s="154"/>
      <c r="L188" s="154"/>
      <c r="M188" s="154"/>
    </row>
    <row r="189" spans="2:13" ht="15.75">
      <c r="C189" s="37" t="s">
        <v>212</v>
      </c>
      <c r="D189" s="36">
        <f>C148</f>
        <v>7.7596763365944546E-3</v>
      </c>
      <c r="E189" s="37" t="s">
        <v>114</v>
      </c>
      <c r="H189" s="154" t="s">
        <v>401</v>
      </c>
      <c r="I189" s="154"/>
      <c r="J189" s="154"/>
      <c r="K189" s="154"/>
      <c r="L189" s="154"/>
      <c r="M189" s="154"/>
    </row>
    <row r="190" spans="2:13">
      <c r="H190" s="155"/>
      <c r="I190" s="155"/>
      <c r="J190" s="155"/>
      <c r="K190" s="155"/>
      <c r="L190" s="155"/>
      <c r="M190" s="155"/>
    </row>
    <row r="191" spans="2:13" ht="27" customHeight="1">
      <c r="B191" s="77" t="s">
        <v>440</v>
      </c>
      <c r="C191" s="37" t="s">
        <v>436</v>
      </c>
      <c r="D191" s="36">
        <f>((7*10^-3)+((C36*(IF(C25&gt;13,13,C25))*C18)))*(D189/4)</f>
        <v>1.4164513184819518E-5</v>
      </c>
      <c r="E191" s="37" t="s">
        <v>116</v>
      </c>
      <c r="H191" s="154" t="s">
        <v>457</v>
      </c>
      <c r="I191" s="154"/>
      <c r="J191" s="154"/>
      <c r="K191" s="154"/>
      <c r="L191" s="154"/>
      <c r="M191" s="154"/>
    </row>
    <row r="192" spans="2:13" ht="15.75">
      <c r="B192" s="37" t="s">
        <v>444</v>
      </c>
      <c r="C192" s="37" t="s">
        <v>445</v>
      </c>
      <c r="D192" s="98">
        <f>(PI()/4)*(1/C85)*((C72*C18*SQRT(C87*(C33+C134)))/(7*10^-3)+((C36*(IF(C25&gt;13,13,C25))*C18)))</f>
        <v>8.2983007470981676</v>
      </c>
      <c r="E192" s="91" t="s">
        <v>107</v>
      </c>
      <c r="H192" s="154" t="s">
        <v>458</v>
      </c>
      <c r="I192" s="154"/>
      <c r="J192" s="154"/>
      <c r="K192" s="154"/>
      <c r="L192" s="154"/>
      <c r="M192" s="154"/>
    </row>
    <row r="193" spans="2:13" ht="15.75">
      <c r="B193" s="37" t="s">
        <v>441</v>
      </c>
      <c r="C193" s="37" t="s">
        <v>442</v>
      </c>
      <c r="D193" s="36">
        <f>F15/(0.000025)</f>
        <v>4299209.2296142085</v>
      </c>
      <c r="E193" s="91" t="s">
        <v>107</v>
      </c>
      <c r="H193" s="154" t="s">
        <v>459</v>
      </c>
      <c r="I193" s="154"/>
      <c r="J193" s="154"/>
      <c r="K193" s="154"/>
      <c r="L193" s="154"/>
      <c r="M193" s="154"/>
    </row>
  </sheetData>
  <sheetProtection password="ED9D" sheet="1" objects="1" scenarios="1" selectLockedCells="1"/>
  <customSheetViews>
    <customSheetView guid="{DD33061B-782C-4C0C-B878-DD0814D9D48F}" hiddenRows="1" showRuler="0" topLeftCell="A25">
      <selection activeCell="D13" sqref="D13"/>
      <pageMargins left="0.75" right="0.75" top="1" bottom="1" header="0.5" footer="0.5"/>
      <pageSetup orientation="portrait" r:id="rId1"/>
      <headerFooter alignWithMargins="0"/>
    </customSheetView>
  </customSheetViews>
  <mergeCells count="131">
    <mergeCell ref="H191:M191"/>
    <mergeCell ref="H182:M182"/>
    <mergeCell ref="H184:M184"/>
    <mergeCell ref="H183:M183"/>
    <mergeCell ref="H188:M188"/>
    <mergeCell ref="H190:M190"/>
    <mergeCell ref="H189:M189"/>
    <mergeCell ref="H185:M185"/>
    <mergeCell ref="H186:M186"/>
    <mergeCell ref="H187:M187"/>
    <mergeCell ref="H179:M179"/>
    <mergeCell ref="H180:M180"/>
    <mergeCell ref="H181:M181"/>
    <mergeCell ref="H169:M169"/>
    <mergeCell ref="H170:M170"/>
    <mergeCell ref="H173:M173"/>
    <mergeCell ref="H174:M174"/>
    <mergeCell ref="H176:M176"/>
    <mergeCell ref="H177:M177"/>
    <mergeCell ref="H178:M178"/>
    <mergeCell ref="H171:M171"/>
    <mergeCell ref="H168:M168"/>
    <mergeCell ref="H175:M175"/>
    <mergeCell ref="H162:M162"/>
    <mergeCell ref="H157:M157"/>
    <mergeCell ref="H160:M160"/>
    <mergeCell ref="H165:M165"/>
    <mergeCell ref="H166:M166"/>
    <mergeCell ref="H167:M167"/>
    <mergeCell ref="H164:M164"/>
    <mergeCell ref="I32:M32"/>
    <mergeCell ref="I15:M15"/>
    <mergeCell ref="I37:M37"/>
    <mergeCell ref="I36:M36"/>
    <mergeCell ref="I70:M70"/>
    <mergeCell ref="I71:M71"/>
    <mergeCell ref="I24:M24"/>
    <mergeCell ref="I44:M44"/>
    <mergeCell ref="I45:M45"/>
    <mergeCell ref="I46:M66"/>
    <mergeCell ref="I40:M40"/>
    <mergeCell ref="I41:M41"/>
    <mergeCell ref="I29:M29"/>
    <mergeCell ref="I30:M30"/>
    <mergeCell ref="I31:M31"/>
    <mergeCell ref="I34:M34"/>
    <mergeCell ref="I35:M35"/>
    <mergeCell ref="I38:M38"/>
    <mergeCell ref="I39:M39"/>
    <mergeCell ref="A1:M2"/>
    <mergeCell ref="I6:M6"/>
    <mergeCell ref="B3:M5"/>
    <mergeCell ref="I20:M20"/>
    <mergeCell ref="I21:M21"/>
    <mergeCell ref="I22:M22"/>
    <mergeCell ref="I16:M16"/>
    <mergeCell ref="I17:M17"/>
    <mergeCell ref="I33:M33"/>
    <mergeCell ref="I43:M43"/>
    <mergeCell ref="I27:M27"/>
    <mergeCell ref="I23:M23"/>
    <mergeCell ref="I18:M18"/>
    <mergeCell ref="I19:M19"/>
    <mergeCell ref="I28:M28"/>
    <mergeCell ref="I26:M26"/>
    <mergeCell ref="I7:M9"/>
    <mergeCell ref="I25:M25"/>
    <mergeCell ref="I14:M14"/>
    <mergeCell ref="G46:G66"/>
    <mergeCell ref="I10:M10"/>
    <mergeCell ref="I11:M11"/>
    <mergeCell ref="I12:M12"/>
    <mergeCell ref="I13:M13"/>
    <mergeCell ref="K130:M130"/>
    <mergeCell ref="H124:M124"/>
    <mergeCell ref="H125:M125"/>
    <mergeCell ref="I68:M68"/>
    <mergeCell ref="I69:M69"/>
    <mergeCell ref="I85:M85"/>
    <mergeCell ref="I79:M79"/>
    <mergeCell ref="I80:M83"/>
    <mergeCell ref="I88:M88"/>
    <mergeCell ref="H192:M192"/>
    <mergeCell ref="I72:M72"/>
    <mergeCell ref="I73:M73"/>
    <mergeCell ref="I74:M74"/>
    <mergeCell ref="I75:M78"/>
    <mergeCell ref="I89:M89"/>
    <mergeCell ref="I90:M90"/>
    <mergeCell ref="I86:M86"/>
    <mergeCell ref="I87:M87"/>
    <mergeCell ref="I84:M84"/>
    <mergeCell ref="I67:M67"/>
    <mergeCell ref="H151:M151"/>
    <mergeCell ref="H136:M136"/>
    <mergeCell ref="H135:M135"/>
    <mergeCell ref="H134:M134"/>
    <mergeCell ref="H121:M121"/>
    <mergeCell ref="H122:M122"/>
    <mergeCell ref="H123:M123"/>
    <mergeCell ref="H137:M137"/>
    <mergeCell ref="H141:M141"/>
    <mergeCell ref="K129:M129"/>
    <mergeCell ref="H140:M140"/>
    <mergeCell ref="H193:M193"/>
    <mergeCell ref="H150:M150"/>
    <mergeCell ref="H143:M143"/>
    <mergeCell ref="I91:M91"/>
    <mergeCell ref="B120:M120"/>
    <mergeCell ref="H142:M142"/>
    <mergeCell ref="H147:M147"/>
    <mergeCell ref="H144:M144"/>
    <mergeCell ref="H159:M159"/>
    <mergeCell ref="H153:M153"/>
    <mergeCell ref="H154:M154"/>
    <mergeCell ref="H155:M155"/>
    <mergeCell ref="H138:M138"/>
    <mergeCell ref="H139:M139"/>
    <mergeCell ref="H146:M146"/>
    <mergeCell ref="H145:M145"/>
    <mergeCell ref="H156:M156"/>
    <mergeCell ref="E96:E97"/>
    <mergeCell ref="B96:B97"/>
    <mergeCell ref="M96:M97"/>
    <mergeCell ref="H149:M149"/>
    <mergeCell ref="H148:M148"/>
    <mergeCell ref="H172:M172"/>
    <mergeCell ref="H163:M163"/>
    <mergeCell ref="H152:M152"/>
    <mergeCell ref="H161:M161"/>
    <mergeCell ref="H158:M158"/>
  </mergeCells>
  <phoneticPr fontId="2" type="noConversion"/>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sheetPr codeName="Sheet3"/>
  <dimension ref="A1:AH227"/>
  <sheetViews>
    <sheetView topLeftCell="A40" workbookViewId="0">
      <selection activeCell="B50" sqref="B50"/>
    </sheetView>
  </sheetViews>
  <sheetFormatPr defaultRowHeight="12.75"/>
  <cols>
    <col min="1" max="1" width="30.7109375" style="37" customWidth="1"/>
    <col min="2" max="2" width="12.42578125" style="37" customWidth="1"/>
    <col min="3" max="3" width="13.5703125" style="37" customWidth="1"/>
    <col min="4" max="4" width="15.7109375" style="37" customWidth="1"/>
    <col min="5" max="5" width="16.140625" style="37" customWidth="1"/>
    <col min="6" max="11" width="15.7109375" style="37" customWidth="1"/>
    <col min="12" max="13" width="10.7109375" style="37" customWidth="1"/>
    <col min="14" max="14" width="12.7109375" style="37" customWidth="1"/>
    <col min="15" max="15" width="16.85546875" style="37" customWidth="1"/>
    <col min="16" max="16" width="10.5703125" style="37" customWidth="1"/>
    <col min="17" max="17" width="15.85546875" style="37" customWidth="1"/>
    <col min="18" max="18" width="14.7109375" style="37" customWidth="1"/>
    <col min="19" max="19" width="13.85546875" style="37" customWidth="1"/>
    <col min="20" max="23" width="10.7109375" style="37" customWidth="1"/>
    <col min="24" max="24" width="10.42578125" style="37" customWidth="1"/>
    <col min="25" max="28" width="10.7109375" style="37" customWidth="1"/>
    <col min="29" max="29" width="13.28515625" style="37" customWidth="1"/>
    <col min="30" max="30" width="12.5703125" style="37" customWidth="1"/>
    <col min="31" max="32" width="9.42578125" style="37" customWidth="1"/>
    <col min="33" max="33" width="12.7109375" style="37" customWidth="1"/>
    <col min="34" max="34" width="10" style="37" customWidth="1"/>
    <col min="35" max="16384" width="9.140625" style="37"/>
  </cols>
  <sheetData>
    <row r="1" spans="1:34">
      <c r="A1" s="171" t="s">
        <v>44</v>
      </c>
      <c r="B1" s="171"/>
      <c r="C1" s="171"/>
      <c r="D1" s="171"/>
      <c r="E1" s="171"/>
      <c r="F1" s="171"/>
      <c r="G1" s="171"/>
      <c r="H1" s="171"/>
      <c r="I1" s="171"/>
      <c r="J1" s="171"/>
      <c r="K1" s="171"/>
      <c r="M1" s="138"/>
      <c r="N1" s="138"/>
      <c r="O1" s="138"/>
      <c r="P1" s="138"/>
      <c r="Q1" s="138"/>
      <c r="R1" s="138"/>
      <c r="S1" s="138"/>
      <c r="T1" s="138"/>
      <c r="U1" s="138"/>
      <c r="V1" s="138"/>
      <c r="W1" s="138"/>
      <c r="X1" s="138"/>
      <c r="Y1" s="138"/>
      <c r="Z1" s="138"/>
      <c r="AA1" s="138"/>
      <c r="AB1" s="138"/>
      <c r="AC1" s="138"/>
      <c r="AD1" s="138"/>
      <c r="AE1" s="138"/>
      <c r="AF1" s="138"/>
      <c r="AG1" s="138"/>
      <c r="AH1" s="138"/>
    </row>
    <row r="2" spans="1:34">
      <c r="A2" s="171"/>
      <c r="B2" s="171"/>
      <c r="C2" s="171"/>
      <c r="D2" s="171"/>
      <c r="E2" s="171"/>
      <c r="F2" s="171"/>
      <c r="G2" s="171"/>
      <c r="H2" s="171"/>
      <c r="I2" s="171"/>
      <c r="J2" s="171"/>
      <c r="K2" s="171"/>
      <c r="M2" s="138"/>
      <c r="N2" s="138"/>
      <c r="O2" s="138"/>
      <c r="P2" s="138"/>
      <c r="Q2" s="138"/>
      <c r="R2" s="138"/>
      <c r="S2" s="138"/>
      <c r="T2" s="138"/>
      <c r="U2" s="138"/>
      <c r="V2" s="138"/>
      <c r="W2" s="138"/>
      <c r="X2" s="138"/>
      <c r="Y2" s="138"/>
      <c r="Z2" s="138"/>
      <c r="AA2" s="138"/>
      <c r="AB2" s="138"/>
      <c r="AC2" s="138"/>
      <c r="AD2" s="138"/>
      <c r="AE2" s="138"/>
      <c r="AF2" s="138"/>
      <c r="AG2" s="138"/>
      <c r="AH2" s="138"/>
    </row>
    <row r="3" spans="1:34" ht="20.25">
      <c r="B3" s="172" t="s">
        <v>12</v>
      </c>
      <c r="C3" s="172"/>
      <c r="D3" s="172"/>
      <c r="E3" s="172"/>
      <c r="F3" s="172"/>
      <c r="G3" s="172"/>
      <c r="H3" s="172"/>
      <c r="I3" s="172"/>
      <c r="M3" s="138"/>
      <c r="N3" s="138"/>
      <c r="O3" s="138"/>
      <c r="P3" s="138"/>
      <c r="Q3" s="138"/>
      <c r="R3" s="138"/>
      <c r="S3" s="138"/>
      <c r="T3" s="138"/>
      <c r="U3" s="138"/>
      <c r="V3" s="138"/>
      <c r="W3" s="138"/>
      <c r="X3" s="138"/>
      <c r="Y3" s="138"/>
      <c r="Z3" s="138"/>
      <c r="AA3" s="138"/>
      <c r="AB3" s="138"/>
      <c r="AC3" s="138"/>
      <c r="AD3" s="138"/>
      <c r="AE3" s="138"/>
      <c r="AF3" s="138"/>
      <c r="AG3" s="138"/>
      <c r="AH3" s="138"/>
    </row>
    <row r="4" spans="1:34" ht="57" customHeight="1">
      <c r="A4" s="173" t="s">
        <v>463</v>
      </c>
      <c r="B4" s="173"/>
      <c r="C4" s="173"/>
      <c r="D4" s="173"/>
      <c r="E4" s="173"/>
      <c r="F4" s="173"/>
      <c r="G4" s="173"/>
      <c r="H4" s="173"/>
      <c r="I4" s="173"/>
      <c r="J4" s="173"/>
      <c r="K4" s="173"/>
      <c r="M4" s="138"/>
      <c r="N4" s="138"/>
      <c r="O4" s="138"/>
      <c r="P4" s="138"/>
      <c r="Q4" s="138"/>
      <c r="R4" s="138"/>
      <c r="S4" s="138"/>
      <c r="T4" s="138"/>
      <c r="U4" s="138"/>
      <c r="V4" s="138"/>
      <c r="W4" s="138"/>
      <c r="X4" s="138"/>
      <c r="Y4" s="138"/>
      <c r="Z4" s="138"/>
      <c r="AA4" s="138"/>
      <c r="AB4" s="138"/>
      <c r="AC4" s="138"/>
      <c r="AD4" s="138"/>
      <c r="AE4" s="138"/>
      <c r="AF4" s="138"/>
      <c r="AG4" s="138"/>
      <c r="AH4" s="138"/>
    </row>
    <row r="5" spans="1:34">
      <c r="B5" s="58"/>
      <c r="M5" s="138"/>
      <c r="N5" s="138"/>
      <c r="O5" s="138"/>
      <c r="P5" s="138"/>
      <c r="Q5" s="138"/>
      <c r="R5" s="138"/>
      <c r="S5" s="138"/>
      <c r="T5" s="138"/>
      <c r="U5" s="138"/>
      <c r="V5" s="138"/>
      <c r="W5" s="138"/>
      <c r="X5" s="138"/>
      <c r="Y5" s="138"/>
      <c r="Z5" s="138"/>
      <c r="AA5" s="138"/>
      <c r="AB5" s="138"/>
      <c r="AC5" s="138"/>
      <c r="AD5" s="138"/>
      <c r="AE5" s="138"/>
      <c r="AF5" s="138"/>
      <c r="AG5" s="138"/>
      <c r="AH5" s="138"/>
    </row>
    <row r="6" spans="1:34">
      <c r="M6" s="138"/>
      <c r="N6" s="138"/>
      <c r="O6" s="138"/>
      <c r="P6" s="138"/>
      <c r="Q6" s="138"/>
      <c r="R6" s="138"/>
      <c r="S6" s="138"/>
      <c r="T6" s="138"/>
      <c r="U6" s="138"/>
      <c r="V6" s="138"/>
      <c r="W6" s="138"/>
      <c r="X6" s="138"/>
      <c r="Y6" s="138"/>
      <c r="Z6" s="138"/>
      <c r="AA6" s="138"/>
      <c r="AB6" s="138"/>
      <c r="AC6" s="138"/>
      <c r="AD6" s="138"/>
      <c r="AE6" s="138"/>
      <c r="AF6" s="138"/>
      <c r="AG6" s="138"/>
      <c r="AH6" s="138"/>
    </row>
    <row r="7" spans="1:34" ht="15.75">
      <c r="A7" s="60" t="s">
        <v>408</v>
      </c>
      <c r="M7" s="138"/>
      <c r="N7" s="138"/>
      <c r="O7" s="138"/>
      <c r="P7" s="138"/>
      <c r="Q7" s="138"/>
      <c r="R7" s="138"/>
      <c r="S7" s="138"/>
      <c r="T7" s="138"/>
      <c r="U7" s="138"/>
      <c r="V7" s="138"/>
      <c r="W7" s="138"/>
      <c r="X7" s="138"/>
      <c r="Y7" s="138"/>
      <c r="Z7" s="138"/>
      <c r="AA7" s="138"/>
      <c r="AB7" s="138"/>
      <c r="AC7" s="138"/>
      <c r="AD7" s="138"/>
      <c r="AE7" s="138"/>
      <c r="AF7" s="138"/>
      <c r="AG7" s="138"/>
      <c r="AH7" s="138"/>
    </row>
    <row r="8" spans="1:34" ht="15.75">
      <c r="A8" s="58" t="s">
        <v>141</v>
      </c>
      <c r="B8" s="33">
        <f ca="1">'QR Design Tool'!C10</f>
        <v>52</v>
      </c>
      <c r="C8" s="37" t="s">
        <v>107</v>
      </c>
      <c r="M8" s="138"/>
      <c r="N8" s="138"/>
      <c r="O8" s="138"/>
      <c r="P8" s="138"/>
      <c r="Q8" s="138"/>
      <c r="R8" s="138"/>
      <c r="S8" s="138"/>
      <c r="T8" s="138"/>
      <c r="U8" s="138"/>
      <c r="V8" s="138"/>
      <c r="W8" s="138"/>
      <c r="X8" s="138"/>
      <c r="Y8" s="138"/>
      <c r="Z8" s="138"/>
      <c r="AA8" s="138"/>
      <c r="AB8" s="138"/>
      <c r="AC8" s="138"/>
      <c r="AD8" s="138"/>
      <c r="AE8" s="138"/>
      <c r="AF8" s="138"/>
      <c r="AG8" s="138"/>
      <c r="AH8" s="138"/>
    </row>
    <row r="9" spans="1:34" ht="15.75">
      <c r="A9" s="58" t="s">
        <v>142</v>
      </c>
      <c r="B9" s="33">
        <f ca="1">'QR Design Tool'!C11</f>
        <v>52</v>
      </c>
      <c r="C9" s="37" t="s">
        <v>107</v>
      </c>
      <c r="D9" s="37" t="s">
        <v>269</v>
      </c>
      <c r="E9" s="35">
        <f>(B17^2)/B9</f>
        <v>2.7692307692307692</v>
      </c>
      <c r="F9" s="91" t="s">
        <v>107</v>
      </c>
      <c r="M9" s="138"/>
      <c r="N9" s="138"/>
      <c r="O9" s="138"/>
      <c r="P9" s="138"/>
      <c r="Q9" s="138"/>
      <c r="R9" s="138"/>
      <c r="S9" s="138"/>
      <c r="T9" s="138"/>
      <c r="U9" s="138"/>
      <c r="V9" s="138"/>
      <c r="W9" s="138"/>
      <c r="X9" s="138"/>
      <c r="Y9" s="138"/>
      <c r="Z9" s="138"/>
      <c r="AA9" s="138"/>
      <c r="AB9" s="138"/>
      <c r="AC9" s="138"/>
      <c r="AD9" s="138"/>
      <c r="AE9" s="138"/>
      <c r="AF9" s="138"/>
      <c r="AG9" s="138"/>
      <c r="AH9" s="138"/>
    </row>
    <row r="10" spans="1:34">
      <c r="A10" s="58" t="s">
        <v>143</v>
      </c>
      <c r="B10" s="33">
        <f ca="1">'QR Design Tool'!C12</f>
        <v>0.8</v>
      </c>
      <c r="E10" s="112"/>
      <c r="M10" s="138"/>
      <c r="N10" s="138"/>
      <c r="O10" s="138"/>
      <c r="P10" s="138"/>
      <c r="Q10" s="138"/>
      <c r="R10" s="138"/>
      <c r="S10" s="138"/>
      <c r="T10" s="138"/>
      <c r="U10" s="138"/>
      <c r="V10" s="138"/>
      <c r="W10" s="138"/>
      <c r="X10" s="138"/>
      <c r="Y10" s="138"/>
      <c r="Z10" s="138"/>
      <c r="AA10" s="138"/>
      <c r="AB10" s="138"/>
      <c r="AC10" s="138"/>
      <c r="AD10" s="138"/>
      <c r="AE10" s="138"/>
      <c r="AF10" s="138"/>
      <c r="AG10" s="138"/>
      <c r="AH10" s="138"/>
    </row>
    <row r="11" spans="1:34" ht="15.75">
      <c r="A11" s="37" t="s">
        <v>125</v>
      </c>
      <c r="B11" s="35">
        <f ca="1">'QR Design Tool'!C13</f>
        <v>65</v>
      </c>
      <c r="C11" s="37" t="s">
        <v>107</v>
      </c>
      <c r="E11" s="112"/>
      <c r="M11" s="138"/>
      <c r="N11" s="138"/>
      <c r="O11" s="138"/>
      <c r="P11" s="138"/>
      <c r="Q11" s="138"/>
      <c r="R11" s="138"/>
      <c r="S11" s="138"/>
      <c r="T11" s="138"/>
      <c r="U11" s="138"/>
      <c r="V11" s="138"/>
      <c r="W11" s="138"/>
      <c r="X11" s="138"/>
      <c r="Y11" s="138"/>
      <c r="Z11" s="138"/>
      <c r="AA11" s="138"/>
      <c r="AB11" s="138"/>
      <c r="AC11" s="138"/>
      <c r="AD11" s="138"/>
      <c r="AE11" s="138"/>
      <c r="AF11" s="138"/>
      <c r="AG11" s="138"/>
      <c r="AH11" s="138"/>
    </row>
    <row r="12" spans="1:34" ht="15.75">
      <c r="A12" s="37" t="s">
        <v>144</v>
      </c>
      <c r="B12" s="33">
        <f ca="1">'QR Design Tool'!C14</f>
        <v>80</v>
      </c>
      <c r="C12" s="37" t="s">
        <v>140</v>
      </c>
      <c r="D12" s="37" t="s">
        <v>135</v>
      </c>
      <c r="E12" s="35">
        <f>B12*SQRT(2)</f>
        <v>113.13708498984761</v>
      </c>
      <c r="F12" s="37" t="s">
        <v>111</v>
      </c>
      <c r="M12" s="138"/>
      <c r="N12" s="138"/>
      <c r="O12" s="138"/>
      <c r="P12" s="138"/>
      <c r="Q12" s="138"/>
      <c r="R12" s="138"/>
      <c r="S12" s="138"/>
      <c r="T12" s="138"/>
      <c r="U12" s="138"/>
      <c r="V12" s="138"/>
      <c r="W12" s="138"/>
      <c r="X12" s="138"/>
      <c r="Y12" s="138"/>
      <c r="Z12" s="138"/>
      <c r="AA12" s="138"/>
      <c r="AB12" s="138"/>
      <c r="AC12" s="138"/>
      <c r="AD12" s="138"/>
      <c r="AE12" s="138"/>
      <c r="AF12" s="138"/>
      <c r="AG12" s="138"/>
      <c r="AH12" s="138"/>
    </row>
    <row r="13" spans="1:34" ht="15.75">
      <c r="A13" s="37" t="s">
        <v>145</v>
      </c>
      <c r="B13" s="33">
        <f ca="1">'QR Design Tool'!C15</f>
        <v>120</v>
      </c>
      <c r="C13" s="37" t="s">
        <v>140</v>
      </c>
      <c r="D13" s="37" t="s">
        <v>136</v>
      </c>
      <c r="E13" s="35">
        <f>E12*(1-(B14/100))</f>
        <v>107.48023074035522</v>
      </c>
      <c r="F13" s="37" t="s">
        <v>111</v>
      </c>
      <c r="M13" s="138"/>
      <c r="N13" s="138"/>
      <c r="O13" s="138"/>
      <c r="P13" s="138"/>
      <c r="Q13" s="138"/>
      <c r="R13" s="138"/>
      <c r="S13" s="138"/>
      <c r="T13" s="138"/>
      <c r="U13" s="138"/>
      <c r="V13" s="138"/>
      <c r="W13" s="138"/>
      <c r="X13" s="138"/>
      <c r="Y13" s="138"/>
      <c r="Z13" s="138"/>
      <c r="AA13" s="138"/>
      <c r="AB13" s="138"/>
      <c r="AC13" s="138"/>
      <c r="AD13" s="138"/>
      <c r="AE13" s="138"/>
      <c r="AF13" s="138"/>
      <c r="AG13" s="138"/>
      <c r="AH13" s="138"/>
    </row>
    <row r="14" spans="1:34" ht="15.75">
      <c r="A14" s="37" t="s">
        <v>146</v>
      </c>
      <c r="B14" s="33">
        <f ca="1">'QR Design Tool'!C16</f>
        <v>5</v>
      </c>
      <c r="C14" s="37" t="s">
        <v>109</v>
      </c>
      <c r="D14" s="37" t="s">
        <v>137</v>
      </c>
      <c r="E14" s="35">
        <f>B13*SQRT(2)</f>
        <v>169.70562748477141</v>
      </c>
      <c r="F14" s="37" t="s">
        <v>111</v>
      </c>
      <c r="M14" s="138"/>
      <c r="N14" s="138"/>
      <c r="O14" s="138"/>
      <c r="P14" s="138"/>
      <c r="Q14" s="138"/>
      <c r="R14" s="138"/>
      <c r="S14" s="138"/>
      <c r="T14" s="138"/>
      <c r="U14" s="138"/>
      <c r="V14" s="138"/>
      <c r="W14" s="138"/>
      <c r="X14" s="138"/>
      <c r="Y14" s="138"/>
      <c r="Z14" s="138"/>
      <c r="AA14" s="138"/>
      <c r="AB14" s="138"/>
      <c r="AC14" s="138"/>
      <c r="AD14" s="138"/>
      <c r="AE14" s="138"/>
      <c r="AF14" s="138"/>
      <c r="AG14" s="138"/>
      <c r="AH14" s="138"/>
    </row>
    <row r="15" spans="1:34" ht="15.75">
      <c r="A15" s="37" t="s">
        <v>147</v>
      </c>
      <c r="B15" s="33">
        <f ca="1">'QR Design Tool'!C17</f>
        <v>10</v>
      </c>
      <c r="C15" s="37" t="s">
        <v>109</v>
      </c>
      <c r="D15" s="37" t="s">
        <v>138</v>
      </c>
      <c r="E15" s="35">
        <f>E14*(1+B15/100)</f>
        <v>186.67619023324858</v>
      </c>
      <c r="F15" s="37" t="s">
        <v>111</v>
      </c>
      <c r="M15" s="138"/>
      <c r="N15" s="138"/>
      <c r="O15" s="138"/>
      <c r="P15" s="138"/>
      <c r="Q15" s="138"/>
      <c r="R15" s="138"/>
      <c r="S15" s="138"/>
      <c r="T15" s="138"/>
      <c r="U15" s="138"/>
      <c r="V15" s="138"/>
      <c r="W15" s="138"/>
      <c r="X15" s="138"/>
      <c r="Y15" s="138"/>
      <c r="Z15" s="138"/>
      <c r="AA15" s="138"/>
      <c r="AB15" s="138"/>
      <c r="AC15" s="138"/>
      <c r="AD15" s="138"/>
      <c r="AE15" s="138"/>
      <c r="AF15" s="138"/>
      <c r="AG15" s="138"/>
      <c r="AH15" s="138"/>
    </row>
    <row r="16" spans="1:34" ht="15.75">
      <c r="A16" s="37" t="s">
        <v>148</v>
      </c>
      <c r="B16" s="36">
        <f ca="1">'QR Design Tool'!C18</f>
        <v>80000</v>
      </c>
      <c r="C16" s="37" t="s">
        <v>112</v>
      </c>
      <c r="D16" s="37" t="s">
        <v>139</v>
      </c>
      <c r="E16" s="44">
        <f>1/B16</f>
        <v>1.2500000000000001E-5</v>
      </c>
      <c r="F16" s="37" t="s">
        <v>114</v>
      </c>
      <c r="M16" s="138"/>
      <c r="N16" s="138"/>
      <c r="O16" s="138"/>
      <c r="P16" s="138"/>
      <c r="Q16" s="138"/>
      <c r="R16" s="138"/>
      <c r="S16" s="138"/>
      <c r="T16" s="138"/>
      <c r="U16" s="138"/>
      <c r="V16" s="138"/>
      <c r="W16" s="138"/>
      <c r="X16" s="138"/>
      <c r="Y16" s="138"/>
      <c r="Z16" s="138"/>
      <c r="AA16" s="138"/>
      <c r="AB16" s="138"/>
      <c r="AC16" s="138"/>
      <c r="AD16" s="138"/>
      <c r="AE16" s="138"/>
      <c r="AF16" s="138"/>
      <c r="AG16" s="138"/>
      <c r="AH16" s="138"/>
    </row>
    <row r="17" spans="1:34" ht="15.75">
      <c r="A17" s="37" t="s">
        <v>149</v>
      </c>
      <c r="B17" s="33">
        <f ca="1">'QR Design Tool'!C19</f>
        <v>12</v>
      </c>
      <c r="C17" s="37" t="s">
        <v>111</v>
      </c>
      <c r="M17" s="138"/>
      <c r="N17" s="138"/>
      <c r="O17" s="138"/>
      <c r="P17" s="138"/>
      <c r="Q17" s="138"/>
      <c r="R17" s="138"/>
      <c r="S17" s="138"/>
      <c r="T17" s="138"/>
      <c r="U17" s="138"/>
      <c r="V17" s="138"/>
      <c r="W17" s="138"/>
      <c r="X17" s="138"/>
      <c r="Y17" s="138"/>
      <c r="Z17" s="138"/>
      <c r="AA17" s="138"/>
      <c r="AB17" s="138"/>
      <c r="AC17" s="138"/>
      <c r="AD17" s="138"/>
      <c r="AE17" s="138"/>
      <c r="AF17" s="138"/>
      <c r="AG17" s="138"/>
      <c r="AH17" s="138"/>
    </row>
    <row r="18" spans="1:34" ht="15.75">
      <c r="A18" s="37" t="s">
        <v>150</v>
      </c>
      <c r="B18" s="33">
        <f ca="1">'QR Design Tool'!C20</f>
        <v>0.1</v>
      </c>
      <c r="C18" s="37" t="s">
        <v>111</v>
      </c>
      <c r="M18" s="138"/>
      <c r="N18" s="138"/>
      <c r="O18" s="138"/>
      <c r="P18" s="138"/>
      <c r="Q18" s="138"/>
      <c r="R18" s="138"/>
      <c r="S18" s="138"/>
      <c r="T18" s="138"/>
      <c r="U18" s="138"/>
      <c r="V18" s="138"/>
      <c r="W18" s="138"/>
      <c r="X18" s="138"/>
      <c r="Y18" s="138"/>
      <c r="Z18" s="138"/>
      <c r="AA18" s="138"/>
      <c r="AB18" s="138"/>
      <c r="AC18" s="138"/>
      <c r="AD18" s="138"/>
      <c r="AE18" s="138"/>
      <c r="AF18" s="138"/>
      <c r="AG18" s="138"/>
      <c r="AH18" s="138"/>
    </row>
    <row r="19" spans="1:34" ht="15.75">
      <c r="A19" s="37" t="s">
        <v>151</v>
      </c>
      <c r="B19" s="33">
        <f ca="1">'QR Design Tool'!C21</f>
        <v>28</v>
      </c>
      <c r="C19" s="37" t="s">
        <v>111</v>
      </c>
      <c r="M19" s="138"/>
      <c r="N19" s="138"/>
      <c r="O19" s="138"/>
      <c r="P19" s="138"/>
      <c r="Q19" s="138"/>
      <c r="R19" s="138"/>
      <c r="S19" s="138"/>
      <c r="T19" s="138"/>
      <c r="U19" s="138"/>
      <c r="V19" s="138"/>
      <c r="W19" s="138"/>
      <c r="X19" s="138"/>
      <c r="Y19" s="138"/>
      <c r="Z19" s="138"/>
      <c r="AA19" s="138"/>
      <c r="AB19" s="138"/>
      <c r="AC19" s="138"/>
      <c r="AD19" s="138"/>
      <c r="AE19" s="138"/>
      <c r="AF19" s="138"/>
      <c r="AG19" s="138"/>
      <c r="AH19" s="138"/>
    </row>
    <row r="20" spans="1:34">
      <c r="A20" s="37" t="s">
        <v>73</v>
      </c>
      <c r="B20" s="33">
        <f ca="1">'QR Design Tool'!C22</f>
        <v>52</v>
      </c>
      <c r="C20" s="37" t="s">
        <v>107</v>
      </c>
      <c r="M20" s="138"/>
      <c r="N20" s="138"/>
      <c r="O20" s="138"/>
      <c r="P20" s="138"/>
      <c r="Q20" s="138"/>
      <c r="R20" s="138"/>
      <c r="S20" s="138"/>
      <c r="T20" s="138"/>
      <c r="U20" s="138"/>
      <c r="V20" s="138"/>
      <c r="W20" s="138"/>
      <c r="X20" s="138"/>
      <c r="Y20" s="138"/>
      <c r="Z20" s="138"/>
      <c r="AA20" s="138"/>
      <c r="AB20" s="138"/>
      <c r="AC20" s="138"/>
      <c r="AD20" s="138"/>
      <c r="AE20" s="138"/>
      <c r="AF20" s="138"/>
      <c r="AG20" s="138"/>
      <c r="AH20" s="138"/>
    </row>
    <row r="21" spans="1:34" ht="15.75">
      <c r="A21" s="37" t="s">
        <v>152</v>
      </c>
      <c r="B21" s="33">
        <f ca="1">'QR Design Tool'!C23</f>
        <v>0.6</v>
      </c>
      <c r="C21" s="37" t="s">
        <v>111</v>
      </c>
      <c r="M21" s="138"/>
      <c r="N21" s="138"/>
      <c r="O21" s="138"/>
      <c r="P21" s="138"/>
      <c r="Q21" s="138"/>
      <c r="R21" s="138"/>
      <c r="S21" s="138"/>
      <c r="T21" s="138"/>
      <c r="U21" s="138"/>
      <c r="V21" s="138"/>
      <c r="W21" s="138"/>
      <c r="X21" s="138"/>
      <c r="Y21" s="138"/>
      <c r="Z21" s="138"/>
      <c r="AA21" s="138"/>
      <c r="AB21" s="138"/>
      <c r="AC21" s="138"/>
      <c r="AD21" s="138"/>
      <c r="AE21" s="138"/>
      <c r="AF21" s="138"/>
      <c r="AG21" s="138"/>
      <c r="AH21" s="138"/>
    </row>
    <row r="22" spans="1:34" ht="15.75">
      <c r="A22" s="37" t="s">
        <v>153</v>
      </c>
      <c r="B22" s="36">
        <f ca="1">'QR Design Tool'!C24</f>
        <v>3000</v>
      </c>
      <c r="C22" s="37" t="s">
        <v>112</v>
      </c>
      <c r="M22" s="138"/>
      <c r="N22" s="138"/>
      <c r="O22" s="138"/>
      <c r="P22" s="138"/>
      <c r="Q22" s="138"/>
      <c r="R22" s="138"/>
      <c r="S22" s="138"/>
      <c r="T22" s="138"/>
      <c r="U22" s="138"/>
      <c r="V22" s="138"/>
      <c r="W22" s="138"/>
      <c r="X22" s="138"/>
      <c r="Y22" s="138"/>
      <c r="Z22" s="138"/>
      <c r="AA22" s="138"/>
      <c r="AB22" s="138"/>
      <c r="AC22" s="138"/>
      <c r="AD22" s="138"/>
      <c r="AE22" s="138"/>
      <c r="AF22" s="138"/>
      <c r="AG22" s="138"/>
      <c r="AH22" s="138"/>
    </row>
    <row r="23" spans="1:34" ht="15.75">
      <c r="A23" s="37" t="s">
        <v>154</v>
      </c>
      <c r="B23" s="33">
        <f ca="1">'QR Design Tool'!C25</f>
        <v>20</v>
      </c>
      <c r="C23" s="37" t="s">
        <v>111</v>
      </c>
      <c r="M23" s="138"/>
      <c r="N23" s="138"/>
      <c r="O23" s="138"/>
      <c r="P23" s="138"/>
      <c r="Q23" s="138"/>
      <c r="R23" s="138"/>
      <c r="S23" s="138"/>
      <c r="T23" s="138"/>
      <c r="U23" s="138"/>
      <c r="V23" s="138"/>
      <c r="W23" s="138"/>
      <c r="X23" s="138"/>
      <c r="Y23" s="138"/>
      <c r="Z23" s="138"/>
      <c r="AA23" s="138"/>
      <c r="AB23" s="138"/>
      <c r="AC23" s="138"/>
      <c r="AD23" s="138"/>
      <c r="AE23" s="138"/>
      <c r="AF23" s="138"/>
      <c r="AG23" s="138"/>
      <c r="AH23" s="138"/>
    </row>
    <row r="24" spans="1:34" ht="28.5">
      <c r="A24" s="77" t="s">
        <v>155</v>
      </c>
      <c r="B24" s="33">
        <f ca="1">'QR Design Tool'!C26</f>
        <v>50</v>
      </c>
      <c r="C24" s="37" t="s">
        <v>109</v>
      </c>
      <c r="M24" s="138"/>
      <c r="N24" s="138"/>
      <c r="O24" s="138"/>
      <c r="P24" s="138"/>
      <c r="Q24" s="138"/>
      <c r="R24" s="138"/>
      <c r="S24" s="138"/>
      <c r="T24" s="138"/>
      <c r="U24" s="138"/>
      <c r="V24" s="138"/>
      <c r="W24" s="138"/>
      <c r="X24" s="138"/>
      <c r="Y24" s="138"/>
      <c r="Z24" s="138"/>
      <c r="AA24" s="138"/>
      <c r="AB24" s="138"/>
      <c r="AC24" s="138"/>
      <c r="AD24" s="138"/>
      <c r="AE24" s="138"/>
      <c r="AF24" s="138"/>
      <c r="AG24" s="138"/>
      <c r="AH24" s="138"/>
    </row>
    <row r="25" spans="1:34">
      <c r="M25" s="138"/>
      <c r="N25" s="138"/>
      <c r="O25" s="138"/>
      <c r="P25" s="138"/>
      <c r="Q25" s="138"/>
      <c r="R25" s="138"/>
      <c r="S25" s="138"/>
      <c r="T25" s="138"/>
      <c r="U25" s="138"/>
      <c r="V25" s="138"/>
      <c r="W25" s="138"/>
      <c r="X25" s="138"/>
      <c r="Y25" s="138"/>
      <c r="Z25" s="138"/>
      <c r="AA25" s="138"/>
      <c r="AB25" s="138"/>
      <c r="AC25" s="138"/>
      <c r="AD25" s="138"/>
      <c r="AE25" s="138"/>
      <c r="AF25" s="138"/>
      <c r="AG25" s="138"/>
      <c r="AH25" s="138"/>
    </row>
    <row r="26" spans="1:34">
      <c r="M26" s="138"/>
      <c r="N26" s="138"/>
      <c r="O26" s="138"/>
      <c r="P26" s="138"/>
      <c r="Q26" s="138"/>
      <c r="R26" s="138"/>
      <c r="S26" s="138"/>
      <c r="T26" s="138"/>
      <c r="U26" s="138"/>
      <c r="V26" s="138"/>
      <c r="W26" s="138"/>
      <c r="X26" s="138"/>
      <c r="Y26" s="138"/>
      <c r="Z26" s="138"/>
      <c r="AA26" s="138"/>
      <c r="AB26" s="138"/>
      <c r="AC26" s="138"/>
      <c r="AD26" s="138"/>
      <c r="AE26" s="138"/>
      <c r="AF26" s="138"/>
      <c r="AG26" s="138"/>
      <c r="AH26" s="138"/>
    </row>
    <row r="27" spans="1:34" ht="15.75">
      <c r="A27" s="60" t="s">
        <v>409</v>
      </c>
      <c r="M27" s="138"/>
      <c r="N27" s="138"/>
      <c r="O27" s="138"/>
      <c r="P27" s="138"/>
      <c r="Q27" s="138"/>
      <c r="R27" s="138"/>
      <c r="S27" s="138"/>
      <c r="T27" s="138"/>
      <c r="U27" s="138"/>
      <c r="V27" s="138"/>
      <c r="W27" s="138"/>
      <c r="X27" s="138"/>
      <c r="Y27" s="138"/>
      <c r="Z27" s="138"/>
      <c r="AA27" s="138"/>
      <c r="AB27" s="138"/>
      <c r="AC27" s="138"/>
      <c r="AD27" s="138"/>
      <c r="AE27" s="138"/>
      <c r="AF27" s="138"/>
      <c r="AG27" s="138"/>
      <c r="AH27" s="138"/>
    </row>
    <row r="28" spans="1:34" ht="15.75">
      <c r="A28" s="37" t="s">
        <v>128</v>
      </c>
      <c r="B28" s="33">
        <f ca="1">'QR Design Tool'!C30</f>
        <v>600</v>
      </c>
      <c r="C28" s="37" t="s">
        <v>111</v>
      </c>
      <c r="M28" s="138"/>
      <c r="N28" s="138"/>
      <c r="O28" s="138"/>
      <c r="P28" s="138"/>
      <c r="Q28" s="138"/>
      <c r="R28" s="138"/>
      <c r="S28" s="138"/>
      <c r="T28" s="138"/>
      <c r="U28" s="138"/>
      <c r="V28" s="138"/>
      <c r="W28" s="138"/>
      <c r="X28" s="138"/>
      <c r="Y28" s="138"/>
      <c r="Z28" s="138"/>
      <c r="AA28" s="138"/>
      <c r="AB28" s="138"/>
      <c r="AC28" s="138"/>
      <c r="AD28" s="138"/>
      <c r="AE28" s="138"/>
      <c r="AF28" s="138"/>
      <c r="AG28" s="138"/>
      <c r="AH28" s="138"/>
    </row>
    <row r="29" spans="1:34" ht="15.75">
      <c r="A29" s="37" t="s">
        <v>126</v>
      </c>
      <c r="B29" s="33">
        <f ca="1">'QR Design Tool'!C31</f>
        <v>20</v>
      </c>
      <c r="C29" s="37" t="s">
        <v>109</v>
      </c>
      <c r="D29" s="37" t="s">
        <v>102</v>
      </c>
      <c r="E29" s="35">
        <f>100*(B28-B48-E14)/B28</f>
        <v>63.989895419204771</v>
      </c>
      <c r="F29" s="37" t="s">
        <v>109</v>
      </c>
      <c r="M29" s="138"/>
      <c r="N29" s="138"/>
      <c r="O29" s="138"/>
      <c r="P29" s="138"/>
      <c r="Q29" s="138"/>
      <c r="R29" s="138"/>
      <c r="S29" s="138"/>
      <c r="T29" s="138"/>
      <c r="U29" s="138"/>
      <c r="V29" s="138"/>
      <c r="W29" s="138"/>
      <c r="X29" s="138"/>
      <c r="Y29" s="138"/>
      <c r="Z29" s="138"/>
      <c r="AA29" s="138"/>
      <c r="AB29" s="138"/>
      <c r="AC29" s="138"/>
      <c r="AD29" s="138"/>
      <c r="AE29" s="138"/>
      <c r="AF29" s="138"/>
      <c r="AG29" s="138"/>
      <c r="AH29" s="138"/>
    </row>
    <row r="30" spans="1:34" ht="15.75">
      <c r="A30" s="37" t="s">
        <v>127</v>
      </c>
      <c r="B30" s="33">
        <f ca="1">'QR Design Tool'!C32</f>
        <v>480</v>
      </c>
      <c r="C30" s="37" t="s">
        <v>111</v>
      </c>
      <c r="M30" s="138"/>
      <c r="N30" s="138"/>
      <c r="O30" s="138"/>
      <c r="P30" s="138"/>
      <c r="Q30" s="138"/>
      <c r="R30" s="138"/>
      <c r="S30" s="138"/>
      <c r="T30" s="138"/>
      <c r="U30" s="138"/>
      <c r="V30" s="138"/>
      <c r="W30" s="138"/>
      <c r="X30" s="138"/>
      <c r="Y30" s="138"/>
      <c r="Z30" s="138"/>
      <c r="AA30" s="138"/>
      <c r="AB30" s="138"/>
      <c r="AC30" s="138"/>
      <c r="AD30" s="138"/>
      <c r="AE30" s="138"/>
      <c r="AF30" s="138"/>
      <c r="AG30" s="138"/>
      <c r="AH30" s="138"/>
    </row>
    <row r="31" spans="1:34" ht="15.75">
      <c r="A31" s="77" t="s">
        <v>129</v>
      </c>
      <c r="B31" s="36">
        <f ca="1">'QR Design Tool'!C33</f>
        <v>1.4000000000000001E-10</v>
      </c>
      <c r="C31" s="37" t="s">
        <v>116</v>
      </c>
      <c r="D31" s="37" t="s">
        <v>130</v>
      </c>
      <c r="E31" s="33">
        <v>25</v>
      </c>
      <c r="F31" s="37" t="s">
        <v>111</v>
      </c>
      <c r="M31" s="138"/>
      <c r="N31" s="138"/>
      <c r="O31" s="138"/>
      <c r="P31" s="138"/>
      <c r="Q31" s="138"/>
      <c r="R31" s="138"/>
      <c r="S31" s="138"/>
      <c r="T31" s="138"/>
      <c r="U31" s="138"/>
      <c r="V31" s="138"/>
      <c r="W31" s="138"/>
      <c r="X31" s="138"/>
      <c r="Y31" s="138"/>
      <c r="Z31" s="138"/>
      <c r="AA31" s="138"/>
      <c r="AB31" s="138"/>
      <c r="AC31" s="138"/>
      <c r="AD31" s="138"/>
      <c r="AE31" s="138"/>
      <c r="AF31" s="138"/>
      <c r="AG31" s="138"/>
      <c r="AH31" s="138"/>
    </row>
    <row r="32" spans="1:34">
      <c r="A32" s="37" t="s">
        <v>19</v>
      </c>
      <c r="B32" s="36">
        <f ca="1">'QR Design Tool'!C34</f>
        <v>7.0000000000000006E-10</v>
      </c>
      <c r="C32" s="37" t="s">
        <v>116</v>
      </c>
      <c r="M32" s="138"/>
      <c r="N32" s="138"/>
      <c r="O32" s="138"/>
      <c r="P32" s="138"/>
      <c r="Q32" s="138"/>
      <c r="R32" s="138"/>
      <c r="S32" s="138"/>
      <c r="T32" s="138"/>
      <c r="U32" s="138"/>
      <c r="V32" s="138"/>
      <c r="W32" s="138"/>
      <c r="X32" s="138"/>
      <c r="Y32" s="138"/>
      <c r="Z32" s="138"/>
      <c r="AA32" s="138"/>
      <c r="AB32" s="138"/>
      <c r="AC32" s="138"/>
      <c r="AD32" s="138"/>
      <c r="AE32" s="138"/>
      <c r="AF32" s="138"/>
      <c r="AG32" s="138"/>
      <c r="AH32" s="138"/>
    </row>
    <row r="33" spans="1:34" ht="15.75">
      <c r="A33" s="37" t="s">
        <v>248</v>
      </c>
      <c r="B33" s="36">
        <f ca="1">'QR Design Tool'!C35</f>
        <v>7.5E-11</v>
      </c>
      <c r="C33" s="37" t="s">
        <v>116</v>
      </c>
      <c r="M33" s="138"/>
      <c r="N33" s="138"/>
      <c r="O33" s="138"/>
      <c r="P33" s="138"/>
      <c r="Q33" s="138"/>
      <c r="R33" s="138"/>
      <c r="S33" s="138"/>
      <c r="T33" s="138"/>
      <c r="U33" s="138"/>
      <c r="V33" s="138"/>
      <c r="W33" s="138"/>
      <c r="X33" s="138"/>
      <c r="Y33" s="138"/>
      <c r="Z33" s="138"/>
      <c r="AA33" s="138"/>
      <c r="AB33" s="138"/>
      <c r="AC33" s="138"/>
      <c r="AD33" s="138"/>
      <c r="AE33" s="138"/>
      <c r="AF33" s="138"/>
      <c r="AG33" s="138"/>
      <c r="AH33" s="138"/>
    </row>
    <row r="34" spans="1:34">
      <c r="B34" s="38"/>
      <c r="M34" s="138"/>
      <c r="N34" s="138"/>
      <c r="O34" s="138"/>
      <c r="P34" s="138"/>
      <c r="Q34" s="138"/>
      <c r="R34" s="138"/>
      <c r="S34" s="138"/>
      <c r="T34" s="138"/>
      <c r="U34" s="138"/>
      <c r="V34" s="138"/>
      <c r="W34" s="138"/>
      <c r="X34" s="138"/>
      <c r="Y34" s="138"/>
      <c r="Z34" s="138"/>
      <c r="AA34" s="138"/>
      <c r="AB34" s="138"/>
      <c r="AC34" s="138"/>
      <c r="AD34" s="138"/>
      <c r="AE34" s="138"/>
      <c r="AF34" s="138"/>
      <c r="AG34" s="138"/>
      <c r="AH34" s="138"/>
    </row>
    <row r="35" spans="1:34">
      <c r="B35" s="39"/>
      <c r="M35" s="138"/>
      <c r="N35" s="138"/>
      <c r="O35" s="138"/>
      <c r="P35" s="138"/>
      <c r="Q35" s="138"/>
      <c r="R35" s="138"/>
      <c r="S35" s="138"/>
      <c r="T35" s="138"/>
      <c r="U35" s="138"/>
      <c r="V35" s="138"/>
      <c r="W35" s="138"/>
      <c r="X35" s="138"/>
      <c r="Y35" s="138"/>
      <c r="Z35" s="138"/>
      <c r="AA35" s="138"/>
      <c r="AB35" s="138"/>
      <c r="AC35" s="138"/>
      <c r="AD35" s="138"/>
      <c r="AE35" s="138"/>
      <c r="AF35" s="138"/>
      <c r="AG35" s="138"/>
      <c r="AH35" s="138"/>
    </row>
    <row r="36" spans="1:34" ht="15.75">
      <c r="A36" s="60" t="s">
        <v>410</v>
      </c>
      <c r="B36" s="39"/>
      <c r="M36" s="138"/>
      <c r="N36" s="138"/>
      <c r="O36" s="138"/>
      <c r="P36" s="138"/>
      <c r="Q36" s="138"/>
      <c r="R36" s="138"/>
      <c r="S36" s="138"/>
      <c r="T36" s="138"/>
      <c r="U36" s="138"/>
      <c r="V36" s="138"/>
      <c r="W36" s="138"/>
      <c r="X36" s="138"/>
      <c r="Y36" s="138"/>
      <c r="Z36" s="138"/>
      <c r="AA36" s="138"/>
      <c r="AB36" s="138"/>
      <c r="AC36" s="138"/>
      <c r="AD36" s="138"/>
      <c r="AE36" s="138"/>
      <c r="AF36" s="138"/>
      <c r="AG36" s="138"/>
      <c r="AH36" s="138"/>
    </row>
    <row r="37" spans="1:34" ht="15.75">
      <c r="A37" s="37" t="s">
        <v>218</v>
      </c>
      <c r="B37" s="35">
        <f ca="1">'QR Design Tool'!C43</f>
        <v>0.7</v>
      </c>
      <c r="C37" s="37" t="s">
        <v>111</v>
      </c>
      <c r="M37" s="138"/>
      <c r="N37" s="138"/>
      <c r="O37" s="138"/>
      <c r="P37" s="138"/>
      <c r="Q37" s="138"/>
      <c r="R37" s="138"/>
      <c r="S37" s="138"/>
      <c r="T37" s="138"/>
      <c r="U37" s="138"/>
      <c r="V37" s="138"/>
      <c r="W37" s="138"/>
      <c r="X37" s="138"/>
      <c r="Y37" s="138"/>
      <c r="Z37" s="138"/>
      <c r="AA37" s="138"/>
      <c r="AB37" s="138"/>
      <c r="AC37" s="138"/>
      <c r="AD37" s="138"/>
      <c r="AE37" s="138"/>
      <c r="AF37" s="138"/>
      <c r="AG37" s="138"/>
      <c r="AH37" s="138"/>
    </row>
    <row r="38" spans="1:34">
      <c r="B38" s="39"/>
      <c r="M38" s="138"/>
      <c r="N38" s="138"/>
      <c r="O38" s="138"/>
      <c r="P38" s="138"/>
      <c r="Q38" s="138"/>
      <c r="R38" s="138"/>
      <c r="S38" s="138"/>
      <c r="T38" s="138"/>
      <c r="U38" s="138"/>
      <c r="V38" s="138"/>
      <c r="W38" s="138"/>
      <c r="X38" s="138"/>
      <c r="Y38" s="138"/>
      <c r="Z38" s="138"/>
      <c r="AA38" s="138"/>
      <c r="AB38" s="138"/>
      <c r="AC38" s="138"/>
      <c r="AD38" s="138"/>
      <c r="AE38" s="138"/>
      <c r="AF38" s="138"/>
      <c r="AG38" s="138"/>
      <c r="AH38" s="138"/>
    </row>
    <row r="39" spans="1:34">
      <c r="B39" s="33"/>
      <c r="M39" s="138"/>
      <c r="N39" s="138"/>
      <c r="O39" s="138"/>
      <c r="P39" s="138"/>
      <c r="Q39" s="138"/>
      <c r="R39" s="138"/>
      <c r="S39" s="138"/>
      <c r="T39" s="138"/>
      <c r="U39" s="138"/>
      <c r="V39" s="138"/>
      <c r="W39" s="138"/>
      <c r="X39" s="138"/>
      <c r="Y39" s="138"/>
      <c r="Z39" s="138"/>
      <c r="AA39" s="138"/>
      <c r="AB39" s="138"/>
      <c r="AC39" s="138"/>
      <c r="AD39" s="138"/>
      <c r="AE39" s="138"/>
      <c r="AF39" s="138"/>
      <c r="AG39" s="138"/>
      <c r="AH39" s="138"/>
    </row>
    <row r="40" spans="1:34" ht="15.75">
      <c r="A40" s="60" t="s">
        <v>66</v>
      </c>
      <c r="B40" s="33"/>
      <c r="M40" s="138"/>
      <c r="N40" s="138"/>
      <c r="O40" s="138"/>
      <c r="P40" s="138"/>
      <c r="Q40" s="138"/>
      <c r="R40" s="138"/>
      <c r="S40" s="138"/>
      <c r="T40" s="138"/>
      <c r="U40" s="138"/>
      <c r="V40" s="138"/>
      <c r="W40" s="138"/>
      <c r="X40" s="138"/>
      <c r="Y40" s="138"/>
      <c r="Z40" s="138"/>
      <c r="AA40" s="138"/>
      <c r="AB40" s="138"/>
      <c r="AC40" s="138"/>
      <c r="AD40" s="138"/>
      <c r="AE40" s="138"/>
      <c r="AF40" s="138"/>
      <c r="AG40" s="138"/>
      <c r="AH40" s="138"/>
    </row>
    <row r="41" spans="1:34" ht="38.25">
      <c r="A41" s="113" t="s">
        <v>411</v>
      </c>
      <c r="B41" s="40">
        <v>2.5</v>
      </c>
      <c r="C41" s="37" t="s">
        <v>109</v>
      </c>
      <c r="D41" s="111" t="s">
        <v>22</v>
      </c>
      <c r="E41" s="82">
        <f>B41/100</f>
        <v>2.5000000000000001E-2</v>
      </c>
      <c r="M41" s="138"/>
      <c r="N41" s="138"/>
      <c r="O41" s="138"/>
      <c r="P41" s="138"/>
      <c r="Q41" s="138"/>
      <c r="R41" s="138"/>
      <c r="S41" s="138"/>
      <c r="T41" s="138"/>
      <c r="U41" s="138"/>
      <c r="V41" s="138"/>
      <c r="W41" s="138"/>
      <c r="X41" s="138"/>
      <c r="Y41" s="138"/>
      <c r="Z41" s="138"/>
      <c r="AA41" s="138"/>
      <c r="AB41" s="138"/>
      <c r="AC41" s="138"/>
      <c r="AD41" s="138"/>
      <c r="AE41" s="138"/>
      <c r="AF41" s="138"/>
      <c r="AG41" s="138"/>
      <c r="AH41" s="138"/>
    </row>
    <row r="42" spans="1:34" ht="89.25" customHeight="1">
      <c r="A42" s="113" t="s">
        <v>405</v>
      </c>
      <c r="B42" s="41">
        <v>8.6100000000000006E-5</v>
      </c>
      <c r="C42" s="37" t="s">
        <v>120</v>
      </c>
      <c r="D42" s="114" t="s">
        <v>417</v>
      </c>
      <c r="E42" s="36">
        <f ca="1">'QR Design Tool'!C86</f>
        <v>4.5963297045675708E-4</v>
      </c>
      <c r="F42" s="37" t="s">
        <v>120</v>
      </c>
      <c r="M42" s="138"/>
      <c r="N42" s="138"/>
      <c r="O42" s="138"/>
      <c r="P42" s="138"/>
      <c r="Q42" s="138"/>
      <c r="R42" s="138"/>
      <c r="S42" s="138"/>
      <c r="T42" s="138"/>
      <c r="U42" s="138"/>
      <c r="V42" s="138"/>
      <c r="W42" s="138"/>
      <c r="X42" s="138"/>
      <c r="Y42" s="138"/>
      <c r="Z42" s="138"/>
      <c r="AA42" s="138"/>
      <c r="AB42" s="138"/>
      <c r="AC42" s="138"/>
      <c r="AD42" s="138"/>
      <c r="AE42" s="138"/>
      <c r="AF42" s="138"/>
      <c r="AG42" s="138"/>
      <c r="AH42" s="138"/>
    </row>
    <row r="43" spans="1:34" ht="15.75">
      <c r="A43" s="37" t="s">
        <v>318</v>
      </c>
      <c r="B43" s="36">
        <f>E41*B42</f>
        <v>2.1525000000000001E-6</v>
      </c>
      <c r="C43" s="37" t="s">
        <v>120</v>
      </c>
      <c r="M43" s="138"/>
      <c r="N43" s="138"/>
      <c r="O43" s="138"/>
      <c r="P43" s="138"/>
      <c r="Q43" s="138"/>
      <c r="R43" s="138"/>
      <c r="S43" s="138"/>
      <c r="T43" s="138"/>
      <c r="U43" s="138"/>
      <c r="V43" s="138"/>
      <c r="W43" s="138"/>
      <c r="X43" s="138"/>
      <c r="Y43" s="138"/>
      <c r="Z43" s="138"/>
      <c r="AA43" s="138"/>
      <c r="AB43" s="138"/>
      <c r="AC43" s="138"/>
      <c r="AD43" s="138"/>
      <c r="AE43" s="138"/>
      <c r="AF43" s="138"/>
      <c r="AG43" s="138"/>
      <c r="AH43" s="138"/>
    </row>
    <row r="44" spans="1:34">
      <c r="A44" s="58" t="s">
        <v>45</v>
      </c>
      <c r="B44" s="36">
        <f>B42+B43</f>
        <v>8.8252500000000002E-5</v>
      </c>
      <c r="C44" s="37" t="s">
        <v>120</v>
      </c>
      <c r="M44" s="138"/>
      <c r="N44" s="138"/>
      <c r="O44" s="138"/>
      <c r="P44" s="138"/>
      <c r="Q44" s="138"/>
      <c r="R44" s="138"/>
      <c r="S44" s="138"/>
      <c r="T44" s="138"/>
      <c r="U44" s="138"/>
      <c r="V44" s="138"/>
      <c r="W44" s="138"/>
      <c r="X44" s="138"/>
      <c r="Y44" s="138"/>
      <c r="Z44" s="138"/>
      <c r="AA44" s="138"/>
      <c r="AB44" s="138"/>
      <c r="AC44" s="138"/>
      <c r="AD44" s="138"/>
      <c r="AE44" s="138"/>
      <c r="AF44" s="138"/>
      <c r="AG44" s="138"/>
      <c r="AH44" s="138"/>
    </row>
    <row r="45" spans="1:34" ht="30" customHeight="1">
      <c r="A45" s="174" t="s">
        <v>429</v>
      </c>
      <c r="B45" s="174"/>
      <c r="C45" s="174"/>
      <c r="D45" s="174"/>
      <c r="E45" s="174"/>
      <c r="F45" s="90"/>
      <c r="M45" s="138"/>
      <c r="N45" s="138"/>
      <c r="O45" s="138"/>
      <c r="P45" s="138"/>
      <c r="Q45" s="138"/>
      <c r="R45" s="138"/>
      <c r="S45" s="138"/>
      <c r="T45" s="138"/>
      <c r="U45" s="138"/>
      <c r="V45" s="138"/>
      <c r="W45" s="138"/>
      <c r="X45" s="138"/>
      <c r="Y45" s="138"/>
      <c r="Z45" s="138"/>
      <c r="AA45" s="138"/>
      <c r="AB45" s="138"/>
      <c r="AC45" s="138"/>
      <c r="AD45" s="138"/>
      <c r="AE45" s="138"/>
      <c r="AF45" s="138"/>
      <c r="AG45" s="138"/>
      <c r="AH45" s="138"/>
    </row>
    <row r="46" spans="1:34" ht="24.75" customHeight="1">
      <c r="A46" s="174"/>
      <c r="B46" s="174"/>
      <c r="C46" s="174"/>
      <c r="D46" s="174"/>
      <c r="E46" s="174"/>
      <c r="F46" s="90"/>
      <c r="M46" s="138"/>
      <c r="N46" s="138"/>
      <c r="O46" s="138"/>
      <c r="P46" s="138"/>
      <c r="Q46" s="138"/>
      <c r="R46" s="138"/>
      <c r="S46" s="138"/>
      <c r="T46" s="138"/>
      <c r="U46" s="138"/>
      <c r="V46" s="138"/>
      <c r="W46" s="138"/>
      <c r="X46" s="138"/>
      <c r="Y46" s="138"/>
      <c r="Z46" s="138"/>
      <c r="AA46" s="138"/>
      <c r="AB46" s="138"/>
      <c r="AC46" s="138"/>
      <c r="AD46" s="138"/>
      <c r="AE46" s="138"/>
      <c r="AF46" s="138"/>
      <c r="AG46" s="138"/>
      <c r="AH46" s="138"/>
    </row>
    <row r="47" spans="1:34" ht="110.25" customHeight="1">
      <c r="A47" s="113" t="s">
        <v>418</v>
      </c>
      <c r="B47" s="150">
        <v>3.65</v>
      </c>
      <c r="C47" s="77" t="s">
        <v>121</v>
      </c>
      <c r="D47" s="114"/>
      <c r="E47" s="35">
        <f ca="1">'QR Design Tool'!C84</f>
        <v>16.288418504736409</v>
      </c>
      <c r="F47" s="77" t="s">
        <v>427</v>
      </c>
      <c r="M47" s="138"/>
      <c r="N47" s="138"/>
      <c r="O47" s="138"/>
      <c r="P47" s="138"/>
      <c r="Q47" s="138"/>
      <c r="R47" s="138"/>
      <c r="S47" s="138"/>
      <c r="T47" s="138"/>
      <c r="U47" s="138"/>
      <c r="V47" s="138"/>
      <c r="W47" s="138"/>
      <c r="X47" s="138"/>
      <c r="Y47" s="138"/>
      <c r="Z47" s="138"/>
      <c r="AA47" s="138"/>
      <c r="AB47" s="138"/>
      <c r="AC47" s="138"/>
      <c r="AD47" s="138"/>
      <c r="AE47" s="138"/>
      <c r="AF47" s="138"/>
      <c r="AG47" s="138"/>
      <c r="AH47" s="138"/>
    </row>
    <row r="48" spans="1:34" s="77" customFormat="1" ht="25.5" customHeight="1">
      <c r="A48" s="80" t="s">
        <v>131</v>
      </c>
      <c r="B48" s="115">
        <f>(B17+B37)*B47</f>
        <v>46.354999999999997</v>
      </c>
      <c r="C48" s="77" t="s">
        <v>111</v>
      </c>
      <c r="D48" s="111" t="s">
        <v>134</v>
      </c>
      <c r="E48" s="116">
        <f ca="1">(B30-E14)/(1+B24/100)</f>
        <v>206.86291501015239</v>
      </c>
      <c r="F48" s="77" t="s">
        <v>111</v>
      </c>
      <c r="M48" s="139"/>
      <c r="N48" s="139"/>
      <c r="O48" s="139"/>
      <c r="P48" s="139"/>
      <c r="Q48" s="139"/>
      <c r="R48" s="139"/>
      <c r="S48" s="139"/>
      <c r="T48" s="139"/>
      <c r="U48" s="139"/>
      <c r="V48" s="139"/>
      <c r="W48" s="139"/>
      <c r="X48" s="139"/>
      <c r="Y48" s="139"/>
      <c r="Z48" s="139"/>
      <c r="AA48" s="139"/>
      <c r="AB48" s="139"/>
      <c r="AC48" s="139"/>
      <c r="AD48" s="139"/>
      <c r="AE48" s="139"/>
      <c r="AF48" s="139"/>
      <c r="AG48" s="139"/>
      <c r="AH48" s="139"/>
    </row>
    <row r="49" spans="1:34" s="77" customFormat="1" ht="53.25" customHeight="1">
      <c r="A49" s="174" t="s">
        <v>430</v>
      </c>
      <c r="B49" s="174"/>
      <c r="C49" s="174"/>
      <c r="D49" s="174"/>
      <c r="E49" s="174"/>
      <c r="F49" s="90"/>
      <c r="M49" s="139"/>
      <c r="N49" s="139"/>
      <c r="O49" s="139"/>
      <c r="P49" s="139"/>
      <c r="Q49" s="139"/>
      <c r="R49" s="139"/>
      <c r="S49" s="139"/>
      <c r="T49" s="139"/>
      <c r="U49" s="139"/>
      <c r="V49" s="139"/>
      <c r="W49" s="139"/>
      <c r="X49" s="139"/>
      <c r="Y49" s="139"/>
      <c r="Z49" s="139"/>
      <c r="AA49" s="139"/>
      <c r="AB49" s="139"/>
      <c r="AC49" s="139"/>
      <c r="AD49" s="139"/>
      <c r="AE49" s="139"/>
      <c r="AF49" s="139"/>
      <c r="AG49" s="139"/>
      <c r="AH49" s="139"/>
    </row>
    <row r="50" spans="1:34" s="77" customFormat="1" ht="105.75" customHeight="1">
      <c r="A50" s="80" t="s">
        <v>428</v>
      </c>
      <c r="B50" s="151">
        <v>7.3</v>
      </c>
      <c r="D50" s="114"/>
      <c r="E50" s="117">
        <f ca="1">'QR Design Tool'!C85</f>
        <v>9.7730511028418459</v>
      </c>
      <c r="F50" s="77" t="s">
        <v>431</v>
      </c>
      <c r="M50" s="139"/>
      <c r="N50" s="139"/>
      <c r="O50" s="139"/>
      <c r="P50" s="139"/>
      <c r="Q50" s="139"/>
      <c r="R50" s="139"/>
      <c r="S50" s="139"/>
      <c r="T50" s="139"/>
      <c r="U50" s="139"/>
      <c r="V50" s="139"/>
      <c r="W50" s="139"/>
      <c r="X50" s="139"/>
      <c r="Y50" s="139"/>
      <c r="Z50" s="139"/>
      <c r="AA50" s="139"/>
      <c r="AB50" s="139"/>
      <c r="AC50" s="139"/>
      <c r="AD50" s="139"/>
      <c r="AE50" s="139"/>
      <c r="AF50" s="139"/>
      <c r="AG50" s="139"/>
      <c r="AH50" s="139"/>
    </row>
    <row r="51" spans="1:34">
      <c r="M51" s="138"/>
      <c r="N51" s="138"/>
      <c r="O51" s="138"/>
      <c r="P51" s="138"/>
      <c r="Q51" s="138"/>
      <c r="R51" s="138"/>
      <c r="S51" s="138"/>
      <c r="T51" s="138"/>
      <c r="U51" s="138"/>
      <c r="V51" s="138"/>
      <c r="W51" s="138"/>
      <c r="X51" s="138"/>
      <c r="Y51" s="138"/>
      <c r="Z51" s="138"/>
      <c r="AA51" s="138"/>
      <c r="AB51" s="138"/>
      <c r="AC51" s="138"/>
      <c r="AD51" s="138"/>
      <c r="AE51" s="138"/>
      <c r="AF51" s="138"/>
      <c r="AG51" s="138"/>
      <c r="AH51" s="138"/>
    </row>
    <row r="52" spans="1:34">
      <c r="M52" s="138"/>
      <c r="N52" s="138"/>
      <c r="O52" s="138"/>
      <c r="P52" s="138"/>
      <c r="Q52" s="138"/>
      <c r="R52" s="138"/>
      <c r="S52" s="138"/>
      <c r="T52" s="138"/>
      <c r="U52" s="138"/>
      <c r="V52" s="138"/>
      <c r="W52" s="138"/>
      <c r="X52" s="138"/>
      <c r="Y52" s="138"/>
      <c r="Z52" s="138"/>
      <c r="AA52" s="138"/>
      <c r="AB52" s="138"/>
      <c r="AC52" s="138"/>
      <c r="AD52" s="138"/>
      <c r="AE52" s="138"/>
      <c r="AF52" s="138"/>
      <c r="AG52" s="138"/>
      <c r="AH52" s="138"/>
    </row>
    <row r="53" spans="1:34" ht="132.75" customHeight="1">
      <c r="A53" s="113" t="s">
        <v>78</v>
      </c>
      <c r="D53" s="170" t="s">
        <v>422</v>
      </c>
      <c r="E53" s="170"/>
      <c r="G53" s="175" t="s">
        <v>464</v>
      </c>
      <c r="H53" s="174"/>
      <c r="I53" s="174"/>
      <c r="J53" s="174"/>
      <c r="K53" s="174"/>
      <c r="L53" s="174"/>
      <c r="M53" s="139"/>
      <c r="N53" s="139" t="s">
        <v>434</v>
      </c>
      <c r="O53" s="139" t="s">
        <v>433</v>
      </c>
      <c r="P53" s="139" t="s">
        <v>432</v>
      </c>
      <c r="Q53" s="139" t="s">
        <v>435</v>
      </c>
      <c r="R53" s="138"/>
      <c r="S53" s="138"/>
      <c r="T53" s="138"/>
      <c r="U53" s="138"/>
      <c r="V53" s="138"/>
      <c r="W53" s="138"/>
      <c r="X53" s="138"/>
      <c r="Y53" s="138"/>
      <c r="Z53" s="138"/>
      <c r="AA53" s="138"/>
      <c r="AB53" s="138"/>
      <c r="AC53" s="138"/>
      <c r="AD53" s="138"/>
      <c r="AE53" s="138"/>
      <c r="AF53" s="138"/>
      <c r="AG53" s="138"/>
      <c r="AH53" s="138"/>
    </row>
    <row r="54" spans="1:34" ht="14.25">
      <c r="A54" s="78" t="s">
        <v>423</v>
      </c>
      <c r="B54" s="42">
        <v>0.108</v>
      </c>
      <c r="C54" s="91" t="s">
        <v>107</v>
      </c>
      <c r="D54" s="35" t="e">
        <f ca="1">B67*(AF91-AF111)/(E111*AF91-E91*AF111)</f>
        <v>#NAME?</v>
      </c>
      <c r="E54" s="91" t="s">
        <v>107</v>
      </c>
      <c r="G54" s="174"/>
      <c r="H54" s="174"/>
      <c r="I54" s="174"/>
      <c r="J54" s="174"/>
      <c r="K54" s="174"/>
      <c r="L54" s="174"/>
      <c r="M54" s="138"/>
      <c r="N54" s="140" t="e">
        <f ca="1">$H$91*0.001</f>
        <v>#NAME?</v>
      </c>
      <c r="O54" s="140" t="e">
        <f ca="1">$G$137*0.001</f>
        <v>#NAME?</v>
      </c>
      <c r="P54" s="140" t="e">
        <f ca="1">$G$180*0.001</f>
        <v>#NAME?</v>
      </c>
      <c r="Q54" s="140">
        <f>$D$206*0.001</f>
        <v>54.968589495316877</v>
      </c>
      <c r="R54" s="138"/>
      <c r="S54" s="138"/>
      <c r="T54" s="138"/>
      <c r="U54" s="138"/>
      <c r="V54" s="138"/>
      <c r="W54" s="138"/>
      <c r="X54" s="138"/>
      <c r="Y54" s="138"/>
      <c r="Z54" s="138"/>
      <c r="AA54" s="138"/>
      <c r="AB54" s="138"/>
      <c r="AC54" s="138"/>
      <c r="AD54" s="138"/>
      <c r="AE54" s="138"/>
      <c r="AF54" s="138"/>
      <c r="AG54" s="138"/>
      <c r="AH54" s="138"/>
    </row>
    <row r="55" spans="1:34" ht="14.25">
      <c r="A55" s="78" t="s">
        <v>424</v>
      </c>
      <c r="B55" s="46">
        <v>1600</v>
      </c>
      <c r="C55" s="91" t="s">
        <v>107</v>
      </c>
      <c r="D55" s="44" t="e">
        <f ca="1">B67*(E91-E111)/(E91*AF111-E111*AF91)</f>
        <v>#NAME?</v>
      </c>
      <c r="E55" s="91" t="s">
        <v>107</v>
      </c>
      <c r="G55" s="174"/>
      <c r="H55" s="174"/>
      <c r="I55" s="174"/>
      <c r="J55" s="174"/>
      <c r="K55" s="174"/>
      <c r="L55" s="174"/>
      <c r="M55" s="138"/>
      <c r="N55" s="140" t="e">
        <f ca="1">$H$92*0.001</f>
        <v>#NAME?</v>
      </c>
      <c r="O55" s="140" t="e">
        <f ca="1">$G$138*0.001</f>
        <v>#NAME?</v>
      </c>
      <c r="P55" s="140" t="e">
        <f ca="1">$G$181*0.001</f>
        <v>#NAME?</v>
      </c>
      <c r="Q55" s="140">
        <f>$D$207*0.001</f>
        <v>55.642544065931553</v>
      </c>
      <c r="R55" s="138"/>
      <c r="S55" s="138"/>
      <c r="T55" s="138"/>
      <c r="U55" s="138"/>
      <c r="V55" s="138"/>
      <c r="W55" s="138"/>
      <c r="X55" s="138"/>
      <c r="Y55" s="138"/>
      <c r="Z55" s="138"/>
      <c r="AA55" s="138"/>
      <c r="AB55" s="138"/>
      <c r="AC55" s="138"/>
      <c r="AD55" s="138"/>
      <c r="AE55" s="138"/>
      <c r="AF55" s="138"/>
      <c r="AG55" s="138"/>
      <c r="AH55" s="138"/>
    </row>
    <row r="56" spans="1:34" ht="14.25">
      <c r="A56" s="78" t="s">
        <v>425</v>
      </c>
      <c r="B56" s="41">
        <v>125500</v>
      </c>
      <c r="C56" s="91" t="s">
        <v>107</v>
      </c>
      <c r="D56" s="36">
        <f>(B73*(B47/B50)*((B19+B37)/B74)+(E15/B50))/B72</f>
        <v>56826.8463419326</v>
      </c>
      <c r="E56" s="91" t="s">
        <v>107</v>
      </c>
      <c r="G56" s="174"/>
      <c r="H56" s="174"/>
      <c r="I56" s="174"/>
      <c r="J56" s="174"/>
      <c r="K56" s="174"/>
      <c r="L56" s="174"/>
      <c r="M56" s="138"/>
      <c r="N56" s="140" t="e">
        <f ca="1">$H$93*0.001</f>
        <v>#NAME?</v>
      </c>
      <c r="O56" s="140" t="e">
        <f ca="1">$G$139*0.001</f>
        <v>#NAME?</v>
      </c>
      <c r="P56" s="140" t="e">
        <f ca="1">$G$182*0.001</f>
        <v>#NAME?</v>
      </c>
      <c r="Q56" s="140">
        <f>$D$208*0.001</f>
        <v>56.303327260838365</v>
      </c>
      <c r="R56" s="138"/>
      <c r="S56" s="138"/>
      <c r="T56" s="138"/>
      <c r="U56" s="138"/>
      <c r="V56" s="138"/>
      <c r="W56" s="138"/>
      <c r="X56" s="138"/>
      <c r="Y56" s="138"/>
      <c r="Z56" s="138"/>
      <c r="AA56" s="138"/>
      <c r="AB56" s="138"/>
      <c r="AC56" s="138"/>
      <c r="AD56" s="138"/>
      <c r="AE56" s="138"/>
      <c r="AF56" s="138"/>
      <c r="AG56" s="138"/>
      <c r="AH56" s="138"/>
    </row>
    <row r="57" spans="1:34" ht="14.25">
      <c r="A57" s="78" t="s">
        <v>426</v>
      </c>
      <c r="B57" s="41">
        <v>44400</v>
      </c>
      <c r="C57" s="91" t="s">
        <v>107</v>
      </c>
      <c r="D57" s="36">
        <f>D56/(((B47/B50)*(B19+B37)/B74)-1)</f>
        <v>20103.837149268609</v>
      </c>
      <c r="E57" s="91" t="s">
        <v>107</v>
      </c>
      <c r="G57" s="174"/>
      <c r="H57" s="174"/>
      <c r="I57" s="174"/>
      <c r="J57" s="174"/>
      <c r="K57" s="174"/>
      <c r="L57" s="174"/>
      <c r="M57" s="138"/>
      <c r="N57" s="140" t="e">
        <f ca="1">$H$94*0.001</f>
        <v>#NAME?</v>
      </c>
      <c r="O57" s="140" t="e">
        <f ca="1">$G$140*0.001</f>
        <v>#NAME?</v>
      </c>
      <c r="P57" s="140" t="e">
        <f ca="1">$G$183*0.001</f>
        <v>#NAME?</v>
      </c>
      <c r="Q57" s="140">
        <f>$D$209*0.001</f>
        <v>56.951843093895071</v>
      </c>
      <c r="R57" s="138"/>
      <c r="S57" s="138"/>
      <c r="T57" s="138"/>
      <c r="U57" s="138"/>
      <c r="V57" s="138"/>
      <c r="W57" s="138"/>
      <c r="X57" s="138"/>
      <c r="Y57" s="138"/>
      <c r="Z57" s="138"/>
      <c r="AA57" s="138"/>
      <c r="AB57" s="138"/>
      <c r="AC57" s="138"/>
      <c r="AD57" s="138"/>
      <c r="AE57" s="138"/>
      <c r="AF57" s="138"/>
      <c r="AG57" s="138"/>
      <c r="AH57" s="138"/>
    </row>
    <row r="58" spans="1:34">
      <c r="G58" s="174"/>
      <c r="H58" s="174"/>
      <c r="I58" s="174"/>
      <c r="J58" s="174"/>
      <c r="K58" s="174"/>
      <c r="L58" s="174"/>
      <c r="M58" s="138"/>
      <c r="N58" s="140" t="e">
        <f ca="1">$H$95*0.001</f>
        <v>#NAME?</v>
      </c>
      <c r="O58" s="140" t="e">
        <f ca="1">$G$141*0.001</f>
        <v>#NAME?</v>
      </c>
      <c r="P58" s="140" t="e">
        <f ca="1">$G$184*0.001</f>
        <v>#NAME?</v>
      </c>
      <c r="Q58" s="140">
        <f>$D$210*0.001</f>
        <v>57.588929631764138</v>
      </c>
      <c r="R58" s="138"/>
      <c r="S58" s="138"/>
      <c r="T58" s="138"/>
      <c r="U58" s="138"/>
      <c r="V58" s="138"/>
      <c r="W58" s="138"/>
      <c r="X58" s="138"/>
      <c r="Y58" s="138"/>
      <c r="Z58" s="138"/>
      <c r="AA58" s="138"/>
      <c r="AB58" s="138"/>
      <c r="AC58" s="138"/>
      <c r="AD58" s="138"/>
      <c r="AE58" s="138"/>
      <c r="AF58" s="138"/>
      <c r="AG58" s="138"/>
      <c r="AH58" s="138"/>
    </row>
    <row r="59" spans="1:34">
      <c r="G59" s="174"/>
      <c r="H59" s="174"/>
      <c r="I59" s="174"/>
      <c r="J59" s="174"/>
      <c r="K59" s="174"/>
      <c r="L59" s="174"/>
      <c r="M59" s="138"/>
      <c r="N59" s="140" t="e">
        <f ca="1">$H$96*0.001</f>
        <v>#NAME?</v>
      </c>
      <c r="O59" s="140" t="e">
        <f ca="1">$G$142*0.001</f>
        <v>#NAME?</v>
      </c>
      <c r="P59" s="140" t="e">
        <f ca="1">$G$185*0.001</f>
        <v>#NAME?</v>
      </c>
      <c r="Q59" s="140">
        <f>$D$211*0.001</f>
        <v>58.215365148984979</v>
      </c>
      <c r="R59" s="138"/>
      <c r="S59" s="138"/>
      <c r="T59" s="138"/>
      <c r="U59" s="138"/>
      <c r="V59" s="138"/>
      <c r="W59" s="138"/>
      <c r="X59" s="138"/>
      <c r="Y59" s="138"/>
      <c r="Z59" s="138"/>
      <c r="AA59" s="138"/>
      <c r="AB59" s="138"/>
      <c r="AC59" s="138"/>
      <c r="AD59" s="138"/>
      <c r="AE59" s="138"/>
      <c r="AF59" s="138"/>
      <c r="AG59" s="138"/>
      <c r="AH59" s="138"/>
    </row>
    <row r="60" spans="1:34">
      <c r="A60" s="84" t="s">
        <v>67</v>
      </c>
      <c r="B60" s="85"/>
      <c r="C60" s="86"/>
      <c r="D60" s="86"/>
      <c r="E60" s="86"/>
      <c r="M60" s="138"/>
      <c r="N60" s="140" t="e">
        <f ca="1">$H$97*0.001</f>
        <v>#NAME?</v>
      </c>
      <c r="O60" s="140" t="e">
        <f ca="1">$G$143*0.001</f>
        <v>#NAME?</v>
      </c>
      <c r="P60" s="140" t="e">
        <f ca="1">$G$186*0.001</f>
        <v>#NAME?</v>
      </c>
      <c r="Q60" s="140">
        <f>$D$212*0.001</f>
        <v>58.831873608943994</v>
      </c>
      <c r="R60" s="138"/>
      <c r="S60" s="138"/>
      <c r="T60" s="138"/>
      <c r="U60" s="138"/>
      <c r="V60" s="138"/>
      <c r="W60" s="138"/>
      <c r="X60" s="138"/>
      <c r="Y60" s="138"/>
      <c r="Z60" s="138"/>
      <c r="AA60" s="138"/>
      <c r="AB60" s="138"/>
      <c r="AC60" s="138"/>
      <c r="AD60" s="138"/>
      <c r="AE60" s="138"/>
      <c r="AF60" s="138"/>
      <c r="AG60" s="138"/>
      <c r="AH60" s="138"/>
    </row>
    <row r="61" spans="1:34" ht="15.75">
      <c r="A61" s="86" t="s">
        <v>197</v>
      </c>
      <c r="B61" s="108">
        <v>4.87</v>
      </c>
      <c r="C61" s="86" t="s">
        <v>290</v>
      </c>
      <c r="D61" s="86"/>
      <c r="E61" s="86"/>
      <c r="M61" s="138"/>
      <c r="N61" s="140" t="e">
        <f ca="1">$H$98*0.001</f>
        <v>#NAME?</v>
      </c>
      <c r="O61" s="140" t="e">
        <f ca="1">$G$144*0.001</f>
        <v>#NAME?</v>
      </c>
      <c r="P61" s="140" t="e">
        <f ca="1">$G$187*0.001</f>
        <v>#NAME?</v>
      </c>
      <c r="Q61" s="140">
        <f>$D$213*0.001</f>
        <v>59.43912955604894</v>
      </c>
      <c r="R61" s="138"/>
      <c r="S61" s="138"/>
      <c r="T61" s="138"/>
      <c r="U61" s="138"/>
      <c r="V61" s="138"/>
      <c r="W61" s="138"/>
      <c r="X61" s="138"/>
      <c r="Y61" s="138"/>
      <c r="Z61" s="138"/>
      <c r="AA61" s="138"/>
      <c r="AB61" s="138"/>
      <c r="AC61" s="138"/>
      <c r="AD61" s="138"/>
      <c r="AE61" s="138"/>
      <c r="AF61" s="138"/>
      <c r="AG61" s="138"/>
      <c r="AH61" s="138"/>
    </row>
    <row r="62" spans="1:34" ht="15.75">
      <c r="A62" s="86" t="s">
        <v>196</v>
      </c>
      <c r="B62" s="109">
        <v>20000</v>
      </c>
      <c r="C62" s="87" t="s">
        <v>289</v>
      </c>
      <c r="D62" s="86"/>
      <c r="E62" s="86"/>
      <c r="M62" s="138"/>
      <c r="N62" s="140" t="e">
        <f ca="1">$H$99*0.001</f>
        <v>#NAME?</v>
      </c>
      <c r="O62" s="140" t="e">
        <f ca="1">$G$145*0.001</f>
        <v>#NAME?</v>
      </c>
      <c r="P62" s="140" t="e">
        <f ca="1">$G$188*0.001</f>
        <v>#NAME?</v>
      </c>
      <c r="Q62" s="140">
        <f>$D$214*0.001</f>
        <v>60.037762492158606</v>
      </c>
      <c r="R62" s="138"/>
      <c r="S62" s="138"/>
      <c r="T62" s="138"/>
      <c r="U62" s="138"/>
      <c r="V62" s="138"/>
      <c r="W62" s="138"/>
      <c r="X62" s="138"/>
      <c r="Y62" s="138"/>
      <c r="Z62" s="138"/>
      <c r="AA62" s="138"/>
      <c r="AB62" s="138"/>
      <c r="AC62" s="138"/>
      <c r="AD62" s="138"/>
      <c r="AE62" s="138"/>
      <c r="AF62" s="138"/>
      <c r="AG62" s="138"/>
      <c r="AH62" s="138"/>
    </row>
    <row r="63" spans="1:34" ht="13.5" customHeight="1">
      <c r="A63" s="88" t="s">
        <v>272</v>
      </c>
      <c r="B63" s="108">
        <v>1.4</v>
      </c>
      <c r="C63" s="86" t="s">
        <v>111</v>
      </c>
      <c r="D63" s="86"/>
      <c r="E63" s="86"/>
      <c r="M63" s="138"/>
      <c r="N63" s="140" t="e">
        <f ca="1">$H$100*0.001</f>
        <v>#NAME?</v>
      </c>
      <c r="O63" s="140" t="e">
        <f ca="1">$G$146*0.001</f>
        <v>#NAME?</v>
      </c>
      <c r="P63" s="140" t="e">
        <f ca="1">$G$189*0.001</f>
        <v>#NAME?</v>
      </c>
      <c r="Q63" s="140">
        <f>$D$215*0.001</f>
        <v>60.628360800046046</v>
      </c>
      <c r="R63" s="138"/>
      <c r="S63" s="138"/>
      <c r="T63" s="138"/>
      <c r="U63" s="138"/>
      <c r="V63" s="138"/>
      <c r="W63" s="138"/>
      <c r="X63" s="138"/>
      <c r="Y63" s="138"/>
      <c r="Z63" s="138"/>
      <c r="AA63" s="138"/>
      <c r="AB63" s="138"/>
      <c r="AC63" s="138"/>
      <c r="AD63" s="138"/>
      <c r="AE63" s="138"/>
      <c r="AF63" s="138"/>
      <c r="AG63" s="138"/>
      <c r="AH63" s="138"/>
    </row>
    <row r="64" spans="1:34" ht="14.25" customHeight="1">
      <c r="A64" s="89" t="s">
        <v>276</v>
      </c>
      <c r="B64" s="108">
        <v>2.5</v>
      </c>
      <c r="C64" s="86" t="s">
        <v>291</v>
      </c>
      <c r="D64" s="86"/>
      <c r="E64" s="86"/>
      <c r="M64" s="138"/>
      <c r="N64" s="140" t="e">
        <f ca="1">$H$101*0.001</f>
        <v>#NAME?</v>
      </c>
      <c r="O64" s="140" t="e">
        <f ca="1">$G$147*0.001</f>
        <v>#NAME?</v>
      </c>
      <c r="P64" s="140" t="e">
        <f ca="1">$G$190*0.001</f>
        <v>#NAME?</v>
      </c>
      <c r="Q64" s="140">
        <f>$D$216*0.001</f>
        <v>61.211475268026199</v>
      </c>
      <c r="R64" s="138"/>
      <c r="S64" s="138"/>
      <c r="T64" s="138"/>
      <c r="U64" s="138"/>
      <c r="V64" s="138"/>
      <c r="W64" s="138"/>
      <c r="X64" s="138"/>
      <c r="Y64" s="138"/>
      <c r="Z64" s="138"/>
      <c r="AA64" s="138"/>
      <c r="AB64" s="138"/>
      <c r="AC64" s="138"/>
      <c r="AD64" s="138"/>
      <c r="AE64" s="138"/>
      <c r="AF64" s="138"/>
      <c r="AG64" s="138"/>
      <c r="AH64" s="138"/>
    </row>
    <row r="65" spans="1:34" ht="12" customHeight="1">
      <c r="A65" s="89" t="s">
        <v>275</v>
      </c>
      <c r="B65" s="108">
        <v>0.4</v>
      </c>
      <c r="C65" s="86" t="s">
        <v>277</v>
      </c>
      <c r="D65" s="86"/>
      <c r="E65" s="86"/>
      <c r="M65" s="138"/>
      <c r="N65" s="140" t="e">
        <f ca="1">$H$102*0.001</f>
        <v>#NAME?</v>
      </c>
      <c r="O65" s="140" t="e">
        <f ca="1">$G$148*0.001</f>
        <v>#NAME?</v>
      </c>
      <c r="P65" s="140" t="e">
        <f ca="1">$G$191*0.001</f>
        <v>#NAME?</v>
      </c>
      <c r="Q65" s="140">
        <f>$D$217*0.001</f>
        <v>61.787622262563517</v>
      </c>
      <c r="R65" s="138"/>
      <c r="S65" s="138"/>
      <c r="T65" s="138"/>
      <c r="U65" s="138"/>
      <c r="V65" s="138"/>
      <c r="W65" s="138"/>
      <c r="X65" s="138"/>
      <c r="Y65" s="138"/>
      <c r="Z65" s="138"/>
      <c r="AA65" s="138"/>
      <c r="AB65" s="138"/>
      <c r="AC65" s="138"/>
      <c r="AD65" s="138"/>
      <c r="AE65" s="138"/>
      <c r="AF65" s="138"/>
      <c r="AG65" s="138"/>
      <c r="AH65" s="138"/>
    </row>
    <row r="66" spans="1:34" ht="13.5" customHeight="1">
      <c r="A66" s="89" t="s">
        <v>273</v>
      </c>
      <c r="B66" s="108">
        <v>1.2</v>
      </c>
      <c r="C66" s="86" t="s">
        <v>274</v>
      </c>
      <c r="D66" s="86"/>
      <c r="E66" s="86"/>
      <c r="M66" s="138"/>
      <c r="N66" s="140" t="e">
        <f ca="1">$H$103*0.001</f>
        <v>#NAME?</v>
      </c>
      <c r="O66" s="140" t="e">
        <f ca="1">$G$149*0.001</f>
        <v>#NAME?</v>
      </c>
      <c r="P66" s="140" t="e">
        <f ca="1">$G$192*0.001</f>
        <v>#NAME?</v>
      </c>
      <c r="Q66" s="140">
        <f>$D$218*0.001</f>
        <v>62.357286589467797</v>
      </c>
      <c r="R66" s="138"/>
      <c r="S66" s="138"/>
      <c r="T66" s="138"/>
      <c r="U66" s="138"/>
      <c r="V66" s="138"/>
      <c r="W66" s="138"/>
      <c r="X66" s="138"/>
      <c r="Y66" s="138"/>
      <c r="Z66" s="138"/>
      <c r="AA66" s="138"/>
      <c r="AB66" s="138"/>
      <c r="AC66" s="138"/>
      <c r="AD66" s="138"/>
      <c r="AE66" s="138"/>
      <c r="AF66" s="138"/>
      <c r="AG66" s="138"/>
      <c r="AH66" s="138"/>
    </row>
    <row r="67" spans="1:34" ht="15" customHeight="1">
      <c r="A67" s="88" t="s">
        <v>279</v>
      </c>
      <c r="B67" s="108">
        <f>B66-B65</f>
        <v>0.79999999999999993</v>
      </c>
      <c r="C67" s="86" t="s">
        <v>278</v>
      </c>
      <c r="D67" s="86"/>
      <c r="E67" s="86"/>
      <c r="M67" s="138"/>
      <c r="N67" s="140" t="e">
        <f ca="1">$H$104*0.001</f>
        <v>#NAME?</v>
      </c>
      <c r="O67" s="140" t="e">
        <f ca="1">$G$150*0.001</f>
        <v>#NAME?</v>
      </c>
      <c r="P67" s="140" t="e">
        <f ca="1">$G$193*0.001</f>
        <v>#NAME?</v>
      </c>
      <c r="Q67" s="140">
        <f>$D$219*0.001</f>
        <v>62.920924078997899</v>
      </c>
      <c r="R67" s="138"/>
      <c r="S67" s="138"/>
      <c r="T67" s="138"/>
      <c r="U67" s="138"/>
      <c r="V67" s="138"/>
      <c r="W67" s="138"/>
      <c r="X67" s="138"/>
      <c r="Y67" s="138"/>
      <c r="Z67" s="138"/>
      <c r="AA67" s="138"/>
      <c r="AB67" s="138"/>
      <c r="AC67" s="138"/>
      <c r="AD67" s="138"/>
      <c r="AE67" s="138"/>
      <c r="AF67" s="138"/>
      <c r="AG67" s="138"/>
      <c r="AH67" s="138"/>
    </row>
    <row r="68" spans="1:34" ht="14.25" customHeight="1">
      <c r="A68" s="89" t="s">
        <v>195</v>
      </c>
      <c r="B68" s="108">
        <f>B66*B64</f>
        <v>3</v>
      </c>
      <c r="C68" s="86" t="s">
        <v>280</v>
      </c>
      <c r="D68" s="86"/>
      <c r="E68" s="86"/>
      <c r="M68" s="138"/>
      <c r="N68" s="140" t="e">
        <f ca="1">$H$105*0.001</f>
        <v>#NAME?</v>
      </c>
      <c r="O68" s="140" t="e">
        <f ca="1">$G$151*0.001</f>
        <v>#NAME?</v>
      </c>
      <c r="P68" s="140" t="e">
        <f ca="1">$G$194*0.001</f>
        <v>#NAME?</v>
      </c>
      <c r="Q68" s="140">
        <f>$D$220*0.001</f>
        <v>63.478963925672339</v>
      </c>
      <c r="R68" s="138"/>
      <c r="S68" s="138"/>
      <c r="T68" s="138"/>
      <c r="U68" s="138"/>
      <c r="V68" s="138"/>
      <c r="W68" s="138"/>
      <c r="X68" s="138"/>
      <c r="Y68" s="138"/>
      <c r="Z68" s="138"/>
      <c r="AA68" s="138"/>
      <c r="AB68" s="138"/>
      <c r="AC68" s="138"/>
      <c r="AD68" s="138"/>
      <c r="AE68" s="138"/>
      <c r="AF68" s="138"/>
      <c r="AG68" s="138"/>
      <c r="AH68" s="138"/>
    </row>
    <row r="69" spans="1:34" ht="15.75" customHeight="1">
      <c r="A69" s="89" t="s">
        <v>281</v>
      </c>
      <c r="B69" s="108">
        <v>2</v>
      </c>
      <c r="C69" s="86" t="s">
        <v>111</v>
      </c>
      <c r="D69" s="86"/>
      <c r="E69" s="86"/>
      <c r="M69" s="138"/>
      <c r="N69" s="140" t="e">
        <f ca="1">$H$106*0.001</f>
        <v>#NAME?</v>
      </c>
      <c r="O69" s="140" t="e">
        <f ca="1">$G$152*0.001</f>
        <v>#NAME?</v>
      </c>
      <c r="P69" s="140" t="e">
        <f ca="1">$G$195*0.001</f>
        <v>#NAME?</v>
      </c>
      <c r="Q69" s="140">
        <f>$D$221*0.001</f>
        <v>64.031810809711047</v>
      </c>
      <c r="R69" s="138"/>
      <c r="S69" s="138"/>
      <c r="T69" s="138"/>
      <c r="U69" s="138"/>
      <c r="V69" s="138"/>
      <c r="W69" s="138"/>
      <c r="X69" s="138"/>
      <c r="Y69" s="138"/>
      <c r="Z69" s="138"/>
      <c r="AA69" s="138"/>
      <c r="AB69" s="138"/>
      <c r="AC69" s="138"/>
      <c r="AD69" s="138"/>
      <c r="AE69" s="138"/>
      <c r="AF69" s="138"/>
      <c r="AG69" s="138"/>
      <c r="AH69" s="138"/>
    </row>
    <row r="70" spans="1:34" ht="13.5" customHeight="1">
      <c r="A70" s="89" t="s">
        <v>282</v>
      </c>
      <c r="B70" s="109">
        <v>130000</v>
      </c>
      <c r="C70" s="86" t="s">
        <v>112</v>
      </c>
      <c r="D70" s="86"/>
      <c r="E70" s="86"/>
      <c r="M70" s="138"/>
      <c r="N70" s="140" t="e">
        <f ca="1">$H$107*0.001</f>
        <v>#NAME?</v>
      </c>
      <c r="O70" s="140" t="e">
        <f ca="1">$G$153*0.001</f>
        <v>#NAME?</v>
      </c>
      <c r="P70" s="140" t="e">
        <f ca="1">$G$196*0.001</f>
        <v>#NAME?</v>
      </c>
      <c r="Q70" s="140">
        <f>$D$222*0.001</f>
        <v>64.579846823700663</v>
      </c>
      <c r="R70" s="138"/>
      <c r="S70" s="138"/>
      <c r="T70" s="138"/>
      <c r="U70" s="138"/>
      <c r="V70" s="138"/>
      <c r="W70" s="138"/>
      <c r="X70" s="138"/>
      <c r="Y70" s="138"/>
      <c r="Z70" s="138"/>
      <c r="AA70" s="138"/>
      <c r="AB70" s="138"/>
      <c r="AC70" s="138"/>
      <c r="AD70" s="138"/>
      <c r="AE70" s="138"/>
      <c r="AF70" s="138"/>
      <c r="AG70" s="138"/>
      <c r="AH70" s="138"/>
    </row>
    <row r="71" spans="1:34" ht="13.5" customHeight="1">
      <c r="A71" s="89" t="s">
        <v>283</v>
      </c>
      <c r="B71" s="109">
        <v>40000</v>
      </c>
      <c r="C71" s="86" t="s">
        <v>112</v>
      </c>
      <c r="D71" s="86"/>
      <c r="E71" s="86"/>
      <c r="M71" s="138"/>
      <c r="N71" s="140" t="e">
        <f ca="1">$H$108*0.001</f>
        <v>#NAME?</v>
      </c>
      <c r="O71" s="140" t="e">
        <f ca="1">$G$154*0.001</f>
        <v>#NAME?</v>
      </c>
      <c r="P71" s="140" t="e">
        <f ca="1">$G$197*0.001</f>
        <v>#NAME?</v>
      </c>
      <c r="Q71" s="140">
        <f>$D$223*0.001</f>
        <v>65.123433225203115</v>
      </c>
      <c r="R71" s="138"/>
      <c r="S71" s="138"/>
      <c r="T71" s="138"/>
      <c r="U71" s="138"/>
      <c r="V71" s="138"/>
      <c r="W71" s="138"/>
      <c r="X71" s="138"/>
      <c r="Y71" s="138"/>
      <c r="Z71" s="138"/>
      <c r="AA71" s="138"/>
      <c r="AB71" s="138"/>
      <c r="AC71" s="138"/>
      <c r="AD71" s="138"/>
      <c r="AE71" s="138"/>
      <c r="AF71" s="138"/>
      <c r="AG71" s="138"/>
      <c r="AH71" s="138"/>
    </row>
    <row r="72" spans="1:34" ht="15.75">
      <c r="A72" s="86" t="s">
        <v>284</v>
      </c>
      <c r="B72" s="109">
        <v>4.4999999999999999E-4</v>
      </c>
      <c r="C72" s="86" t="s">
        <v>118</v>
      </c>
      <c r="D72" s="86"/>
      <c r="E72" s="86"/>
      <c r="M72" s="138"/>
      <c r="N72" s="140" t="e">
        <f ca="1">$H$109*0.001</f>
        <v>#NAME?</v>
      </c>
      <c r="O72" s="140" t="e">
        <f ca="1">$G$155*0.001</f>
        <v>#NAME?</v>
      </c>
      <c r="P72" s="140" t="e">
        <f ca="1">$G$198*0.001</f>
        <v>#NAME?</v>
      </c>
      <c r="Q72" s="140">
        <f>$D$224*0.001</f>
        <v>65.662912033543378</v>
      </c>
      <c r="R72" s="138"/>
      <c r="S72" s="138"/>
      <c r="T72" s="138"/>
      <c r="U72" s="138"/>
      <c r="V72" s="138"/>
      <c r="W72" s="138"/>
      <c r="X72" s="138"/>
      <c r="Y72" s="138"/>
      <c r="Z72" s="138"/>
      <c r="AA72" s="138"/>
      <c r="AB72" s="138"/>
      <c r="AC72" s="138"/>
      <c r="AD72" s="138"/>
      <c r="AE72" s="138"/>
      <c r="AF72" s="138"/>
      <c r="AG72" s="138"/>
      <c r="AH72" s="138"/>
    </row>
    <row r="73" spans="1:34" ht="15.75">
      <c r="A73" s="86" t="s">
        <v>285</v>
      </c>
      <c r="B73" s="108">
        <v>0</v>
      </c>
      <c r="C73" s="86" t="s">
        <v>287</v>
      </c>
      <c r="D73" s="86"/>
      <c r="E73" s="86"/>
      <c r="M73" s="138"/>
      <c r="N73" s="140" t="e">
        <f ca="1">$H$110*0.001</f>
        <v>#NAME?</v>
      </c>
      <c r="O73" s="140" t="e">
        <f ca="1">$G$156*0.001</f>
        <v>#NAME?</v>
      </c>
      <c r="P73" s="140" t="e">
        <f ca="1">$G$199*0.001</f>
        <v>#NAME?</v>
      </c>
      <c r="Q73" s="140">
        <f>$D$225*0.001</f>
        <v>66.198607486861192</v>
      </c>
      <c r="R73" s="138"/>
      <c r="S73" s="138"/>
      <c r="T73" s="138"/>
      <c r="U73" s="138"/>
      <c r="V73" s="138"/>
      <c r="W73" s="138"/>
      <c r="X73" s="138"/>
      <c r="Y73" s="138"/>
      <c r="Z73" s="138"/>
      <c r="AA73" s="138"/>
      <c r="AB73" s="138"/>
      <c r="AC73" s="138"/>
      <c r="AD73" s="138"/>
      <c r="AE73" s="138"/>
      <c r="AF73" s="138"/>
      <c r="AG73" s="138"/>
      <c r="AH73" s="138"/>
    </row>
    <row r="74" spans="1:34" ht="15.75">
      <c r="A74" s="86" t="s">
        <v>288</v>
      </c>
      <c r="B74" s="108">
        <v>3.75</v>
      </c>
      <c r="C74" s="86" t="s">
        <v>119</v>
      </c>
      <c r="D74" s="86"/>
      <c r="E74" s="86"/>
      <c r="M74" s="138"/>
      <c r="N74" s="140" t="e">
        <f ca="1">$H$111*0.001</f>
        <v>#NAME?</v>
      </c>
      <c r="O74" s="140" t="e">
        <f ca="1">$G$157*0.001</f>
        <v>#NAME?</v>
      </c>
      <c r="P74" s="140" t="e">
        <f ca="1">$G$200*0.001</f>
        <v>#NAME?</v>
      </c>
      <c r="Q74" s="140">
        <f>$D$226*0.001</f>
        <v>66.730827373641389</v>
      </c>
      <c r="R74" s="138"/>
      <c r="S74" s="138"/>
      <c r="T74" s="138"/>
      <c r="U74" s="138"/>
      <c r="V74" s="138"/>
      <c r="W74" s="138"/>
      <c r="X74" s="138"/>
      <c r="Y74" s="138"/>
      <c r="Z74" s="138"/>
      <c r="AA74" s="138"/>
      <c r="AB74" s="138"/>
      <c r="AC74" s="138"/>
      <c r="AD74" s="138"/>
      <c r="AE74" s="138"/>
      <c r="AF74" s="138"/>
      <c r="AG74" s="138"/>
      <c r="AH74" s="138"/>
    </row>
    <row r="75" spans="1:34" ht="28.5">
      <c r="A75" s="88" t="s">
        <v>286</v>
      </c>
      <c r="B75" s="108">
        <v>0.5</v>
      </c>
      <c r="C75" s="86" t="s">
        <v>268</v>
      </c>
      <c r="D75" s="86"/>
      <c r="E75" s="86"/>
      <c r="H75" s="118"/>
      <c r="M75" s="138"/>
      <c r="N75" s="138"/>
      <c r="O75" s="138"/>
      <c r="P75" s="138"/>
      <c r="Q75" s="138"/>
      <c r="R75" s="138"/>
      <c r="S75" s="138"/>
      <c r="T75" s="138"/>
      <c r="U75" s="138"/>
      <c r="V75" s="138"/>
      <c r="W75" s="138"/>
      <c r="X75" s="138"/>
      <c r="Y75" s="138"/>
      <c r="Z75" s="138"/>
      <c r="AA75" s="138"/>
      <c r="AB75" s="138"/>
      <c r="AC75" s="138"/>
      <c r="AD75" s="138"/>
      <c r="AE75" s="138"/>
      <c r="AF75" s="138"/>
      <c r="AG75" s="138"/>
      <c r="AH75" s="138"/>
    </row>
    <row r="76" spans="1:34" ht="13.5" customHeight="1">
      <c r="A76" s="89" t="s">
        <v>292</v>
      </c>
      <c r="B76" s="108">
        <f>(B69/B64)-B65</f>
        <v>0.4</v>
      </c>
      <c r="C76" s="86" t="s">
        <v>293</v>
      </c>
      <c r="D76" s="86"/>
      <c r="E76" s="86"/>
      <c r="H76" s="118"/>
      <c r="M76" s="138"/>
      <c r="N76" s="138"/>
      <c r="O76" s="138"/>
      <c r="P76" s="138"/>
      <c r="Q76" s="138"/>
      <c r="R76" s="138"/>
      <c r="S76" s="138"/>
      <c r="T76" s="138"/>
      <c r="U76" s="138"/>
      <c r="V76" s="138"/>
      <c r="W76" s="138"/>
      <c r="X76" s="138"/>
      <c r="Y76" s="138"/>
      <c r="Z76" s="138"/>
      <c r="AA76" s="138"/>
      <c r="AB76" s="138"/>
      <c r="AC76" s="138"/>
      <c r="AD76" s="138"/>
      <c r="AE76" s="138"/>
      <c r="AF76" s="138"/>
      <c r="AG76" s="138"/>
      <c r="AH76" s="138"/>
    </row>
    <row r="77" spans="1:34" ht="12.75" customHeight="1">
      <c r="A77" s="89" t="s">
        <v>194</v>
      </c>
      <c r="B77" s="108">
        <f>B76/B67</f>
        <v>0.50000000000000011</v>
      </c>
      <c r="C77" s="86"/>
      <c r="D77" s="86"/>
      <c r="E77" s="86"/>
      <c r="H77" s="118"/>
      <c r="M77" s="138"/>
      <c r="N77" s="138"/>
      <c r="O77" s="138"/>
      <c r="P77" s="138"/>
      <c r="Q77" s="138"/>
      <c r="R77" s="138"/>
      <c r="S77" s="138"/>
      <c r="T77" s="138"/>
      <c r="U77" s="138"/>
      <c r="V77" s="138"/>
      <c r="W77" s="138"/>
      <c r="X77" s="138"/>
      <c r="Y77" s="138"/>
      <c r="Z77" s="138"/>
      <c r="AA77" s="138"/>
      <c r="AB77" s="138"/>
      <c r="AC77" s="138"/>
      <c r="AD77" s="138"/>
      <c r="AE77" s="138"/>
      <c r="AF77" s="138"/>
      <c r="AG77" s="138"/>
      <c r="AH77" s="138"/>
    </row>
    <row r="78" spans="1:34" ht="12.75" customHeight="1">
      <c r="A78" s="89" t="s">
        <v>294</v>
      </c>
      <c r="B78" s="109">
        <f>((1/B70)-(1/B71))/(B69-B63)</f>
        <v>-2.8846153846153845E-5</v>
      </c>
      <c r="C78" s="86"/>
      <c r="D78" s="86"/>
      <c r="E78" s="86"/>
      <c r="H78" s="107"/>
      <c r="M78" s="138"/>
      <c r="N78" s="138"/>
      <c r="O78" s="138"/>
      <c r="P78" s="138"/>
      <c r="Q78" s="138"/>
      <c r="R78" s="138"/>
      <c r="S78" s="138"/>
      <c r="T78" s="138"/>
      <c r="U78" s="138"/>
      <c r="V78" s="138"/>
      <c r="W78" s="138"/>
      <c r="X78" s="138"/>
      <c r="Y78" s="138"/>
      <c r="Z78" s="138"/>
      <c r="AA78" s="138"/>
      <c r="AB78" s="138"/>
      <c r="AC78" s="138"/>
      <c r="AD78" s="138"/>
      <c r="AE78" s="138"/>
      <c r="AF78" s="138"/>
      <c r="AG78" s="138"/>
      <c r="AH78" s="138"/>
    </row>
    <row r="79" spans="1:34" ht="15.75">
      <c r="A79" s="89" t="s">
        <v>295</v>
      </c>
      <c r="B79" s="109">
        <f>((B69/B71)-(B63/B70))/(B69-B63)</f>
        <v>6.5384615384615373E-5</v>
      </c>
      <c r="C79" s="86" t="s">
        <v>111</v>
      </c>
      <c r="D79" s="86"/>
      <c r="E79" s="86"/>
      <c r="H79" s="36"/>
      <c r="M79" s="138"/>
      <c r="N79" s="138"/>
      <c r="O79" s="138"/>
      <c r="P79" s="138"/>
      <c r="Q79" s="138"/>
      <c r="R79" s="138"/>
      <c r="S79" s="138"/>
      <c r="T79" s="138"/>
      <c r="U79" s="138"/>
      <c r="V79" s="138"/>
      <c r="W79" s="138"/>
      <c r="X79" s="138"/>
      <c r="Y79" s="138"/>
      <c r="Z79" s="138"/>
      <c r="AA79" s="138"/>
      <c r="AB79" s="138"/>
      <c r="AC79" s="138"/>
      <c r="AD79" s="138"/>
      <c r="AE79" s="138"/>
      <c r="AF79" s="138"/>
      <c r="AG79" s="138"/>
      <c r="AH79" s="138"/>
    </row>
    <row r="80" spans="1:34" ht="15.75">
      <c r="A80" s="89" t="s">
        <v>296</v>
      </c>
      <c r="B80" s="110">
        <v>6.0000000000000002E-6</v>
      </c>
      <c r="C80" s="86" t="s">
        <v>297</v>
      </c>
      <c r="D80" s="86"/>
      <c r="E80" s="86"/>
      <c r="H80" s="36"/>
      <c r="M80" s="138"/>
      <c r="N80" s="138"/>
      <c r="O80" s="138"/>
      <c r="P80" s="138"/>
      <c r="Q80" s="138"/>
      <c r="R80" s="138"/>
      <c r="S80" s="138"/>
      <c r="T80" s="138"/>
      <c r="U80" s="138"/>
      <c r="V80" s="138"/>
      <c r="W80" s="138"/>
      <c r="X80" s="138"/>
      <c r="Y80" s="138"/>
      <c r="Z80" s="138"/>
      <c r="AA80" s="138"/>
      <c r="AB80" s="138"/>
      <c r="AC80" s="138"/>
      <c r="AD80" s="138"/>
      <c r="AE80" s="138"/>
      <c r="AF80" s="138"/>
      <c r="AG80" s="138"/>
      <c r="AH80" s="138"/>
    </row>
    <row r="81" spans="1:34">
      <c r="H81" s="36"/>
      <c r="M81" s="138"/>
      <c r="N81" s="138"/>
      <c r="O81" s="138"/>
      <c r="P81" s="138"/>
      <c r="Q81" s="138"/>
      <c r="R81" s="138"/>
      <c r="S81" s="138"/>
      <c r="T81" s="138"/>
      <c r="U81" s="138"/>
      <c r="V81" s="138"/>
      <c r="W81" s="138"/>
      <c r="X81" s="138"/>
      <c r="Y81" s="138"/>
      <c r="Z81" s="138"/>
      <c r="AA81" s="138"/>
      <c r="AB81" s="138"/>
      <c r="AC81" s="138"/>
      <c r="AD81" s="138"/>
      <c r="AE81" s="138"/>
      <c r="AF81" s="138"/>
      <c r="AG81" s="138"/>
      <c r="AH81" s="138"/>
    </row>
    <row r="82" spans="1:34">
      <c r="H82" s="36"/>
      <c r="M82" s="138"/>
      <c r="N82" s="138"/>
      <c r="O82" s="138"/>
      <c r="P82" s="138"/>
      <c r="Q82" s="138"/>
      <c r="R82" s="138"/>
      <c r="S82" s="138"/>
      <c r="T82" s="138"/>
      <c r="U82" s="138"/>
      <c r="V82" s="138"/>
      <c r="W82" s="138"/>
      <c r="X82" s="138"/>
      <c r="Y82" s="138"/>
      <c r="Z82" s="138"/>
      <c r="AA82" s="138"/>
      <c r="AB82" s="138"/>
      <c r="AC82" s="138"/>
      <c r="AD82" s="138"/>
      <c r="AE82" s="138"/>
      <c r="AF82" s="138"/>
      <c r="AG82" s="138"/>
      <c r="AH82" s="138"/>
    </row>
    <row r="83" spans="1:34">
      <c r="H83" s="36"/>
      <c r="M83" s="138"/>
      <c r="N83" s="138"/>
      <c r="O83" s="138"/>
      <c r="P83" s="138"/>
      <c r="Q83" s="138"/>
      <c r="R83" s="138"/>
      <c r="S83" s="138"/>
      <c r="T83" s="138"/>
      <c r="U83" s="138"/>
      <c r="V83" s="138"/>
      <c r="W83" s="138"/>
      <c r="X83" s="138"/>
      <c r="Y83" s="138"/>
      <c r="Z83" s="138"/>
      <c r="AA83" s="138"/>
      <c r="AB83" s="138"/>
      <c r="AC83" s="138"/>
      <c r="AD83" s="138"/>
      <c r="AE83" s="138"/>
      <c r="AF83" s="138"/>
      <c r="AG83" s="138"/>
      <c r="AH83" s="138"/>
    </row>
    <row r="84" spans="1:34">
      <c r="C84" s="33"/>
      <c r="M84" s="138"/>
      <c r="N84" s="138"/>
      <c r="O84" s="138"/>
      <c r="P84" s="138"/>
      <c r="Q84" s="138"/>
      <c r="R84" s="138"/>
      <c r="S84" s="138"/>
      <c r="T84" s="138"/>
      <c r="U84" s="138"/>
      <c r="V84" s="138"/>
      <c r="W84" s="138"/>
      <c r="X84" s="138"/>
      <c r="Y84" s="138"/>
      <c r="Z84" s="138"/>
      <c r="AA84" s="138"/>
      <c r="AB84" s="138"/>
      <c r="AC84" s="138"/>
      <c r="AD84" s="138"/>
      <c r="AE84" s="138"/>
      <c r="AF84" s="138"/>
      <c r="AG84" s="138"/>
      <c r="AH84" s="138"/>
    </row>
    <row r="85" spans="1:34" ht="18.75">
      <c r="B85" s="169" t="s">
        <v>414</v>
      </c>
      <c r="C85" s="169"/>
      <c r="D85" s="169"/>
      <c r="E85" s="169"/>
      <c r="F85" s="169"/>
      <c r="G85" s="169"/>
      <c r="H85" s="169"/>
      <c r="I85" s="169"/>
      <c r="J85" s="169"/>
      <c r="K85" s="169"/>
      <c r="L85" s="169"/>
      <c r="M85" s="138"/>
      <c r="N85" s="138"/>
      <c r="O85" s="138"/>
      <c r="P85" s="138"/>
      <c r="Q85" s="138"/>
      <c r="R85" s="138"/>
      <c r="S85" s="138"/>
      <c r="T85" s="138"/>
      <c r="U85" s="138"/>
      <c r="V85" s="138"/>
      <c r="W85" s="138"/>
      <c r="X85" s="138"/>
      <c r="Y85" s="138"/>
      <c r="Z85" s="138"/>
      <c r="AA85" s="138"/>
      <c r="AB85" s="138"/>
      <c r="AC85" s="138"/>
      <c r="AD85" s="138"/>
      <c r="AE85" s="138"/>
      <c r="AF85" s="138"/>
      <c r="AG85" s="138"/>
      <c r="AH85" s="138"/>
    </row>
    <row r="86" spans="1:34" s="97" customFormat="1" ht="14.25">
      <c r="B86" s="176" t="s">
        <v>157</v>
      </c>
      <c r="C86" s="119" t="s">
        <v>188</v>
      </c>
      <c r="D86" s="119" t="s">
        <v>189</v>
      </c>
      <c r="E86" s="119" t="s">
        <v>190</v>
      </c>
      <c r="F86" s="119" t="s">
        <v>191</v>
      </c>
      <c r="G86" s="119" t="s">
        <v>192</v>
      </c>
      <c r="H86" s="119" t="s">
        <v>193</v>
      </c>
      <c r="I86" s="176" t="s">
        <v>187</v>
      </c>
      <c r="J86" s="119" t="s">
        <v>169</v>
      </c>
      <c r="K86" s="119" t="s">
        <v>198</v>
      </c>
      <c r="L86" s="119" t="s">
        <v>199</v>
      </c>
      <c r="M86" s="141"/>
      <c r="N86" s="141"/>
      <c r="O86" s="141" t="s">
        <v>33</v>
      </c>
      <c r="P86" s="141" t="s">
        <v>25</v>
      </c>
      <c r="Q86" s="141" t="s">
        <v>505</v>
      </c>
      <c r="R86" s="141" t="s">
        <v>506</v>
      </c>
      <c r="S86" s="141" t="s">
        <v>507</v>
      </c>
      <c r="T86" s="141"/>
      <c r="U86" s="141"/>
      <c r="V86" s="141"/>
      <c r="W86" s="141"/>
      <c r="X86" s="141"/>
      <c r="Y86" s="141"/>
      <c r="Z86" s="141"/>
      <c r="AA86" s="141"/>
      <c r="AB86" s="141"/>
      <c r="AC86" s="141"/>
      <c r="AD86" s="141"/>
      <c r="AE86" s="141"/>
      <c r="AF86" s="141"/>
      <c r="AG86" s="141"/>
      <c r="AH86" s="141"/>
    </row>
    <row r="87" spans="1:34" s="111" customFormat="1" ht="25.5">
      <c r="B87" s="153"/>
      <c r="C87" s="96" t="s">
        <v>111</v>
      </c>
      <c r="D87" s="96" t="s">
        <v>111</v>
      </c>
      <c r="E87" s="96" t="s">
        <v>122</v>
      </c>
      <c r="F87" s="96" t="s">
        <v>114</v>
      </c>
      <c r="G87" s="96" t="s">
        <v>114</v>
      </c>
      <c r="H87" s="96" t="s">
        <v>112</v>
      </c>
      <c r="I87" s="153"/>
      <c r="J87" s="96" t="s">
        <v>111</v>
      </c>
      <c r="K87" s="96" t="s">
        <v>319</v>
      </c>
      <c r="L87" s="96" t="s">
        <v>319</v>
      </c>
      <c r="M87" s="142" t="s">
        <v>26</v>
      </c>
      <c r="N87" s="142" t="s">
        <v>508</v>
      </c>
      <c r="O87" s="142" t="s">
        <v>34</v>
      </c>
      <c r="P87" s="142" t="s">
        <v>28</v>
      </c>
      <c r="Q87" s="142" t="s">
        <v>29</v>
      </c>
      <c r="R87" s="142" t="s">
        <v>30</v>
      </c>
      <c r="S87" s="142" t="s">
        <v>31</v>
      </c>
      <c r="T87" s="142" t="s">
        <v>509</v>
      </c>
      <c r="U87" s="142" t="s">
        <v>510</v>
      </c>
      <c r="V87" s="142" t="s">
        <v>36</v>
      </c>
      <c r="W87" s="142" t="s">
        <v>38</v>
      </c>
      <c r="X87" s="142" t="s">
        <v>39</v>
      </c>
      <c r="Y87" s="142" t="s">
        <v>511</v>
      </c>
      <c r="Z87" s="142" t="s">
        <v>14</v>
      </c>
      <c r="AA87" s="142" t="s">
        <v>15</v>
      </c>
      <c r="AB87" s="142" t="s">
        <v>41</v>
      </c>
      <c r="AC87" s="142" t="s">
        <v>42</v>
      </c>
      <c r="AD87" s="142" t="s">
        <v>512</v>
      </c>
      <c r="AE87" s="142" t="s">
        <v>47</v>
      </c>
      <c r="AF87" s="142" t="s">
        <v>513</v>
      </c>
      <c r="AG87" s="142" t="s">
        <v>514</v>
      </c>
      <c r="AH87" s="142" t="s">
        <v>515</v>
      </c>
    </row>
    <row r="88" spans="1:34" s="111" customFormat="1">
      <c r="A88" s="113" t="s">
        <v>186</v>
      </c>
      <c r="B88" s="97">
        <v>0</v>
      </c>
      <c r="C88" s="35">
        <f>$E$13</f>
        <v>107.48023074035522</v>
      </c>
      <c r="D88" s="35">
        <f>C88/SQRT(2)</f>
        <v>76</v>
      </c>
      <c r="E88" s="35" t="e">
        <f ca="1">Ifind(Z88,AA88,AB88,AC88,U88,Y88)</f>
        <v>#NAME?</v>
      </c>
      <c r="F88" s="74" t="e">
        <f ca="1">(1/2)*$B$44*(E88^2)/$B$11</f>
        <v>#NAME?</v>
      </c>
      <c r="G88" s="74" t="e">
        <f ca="1">E88*$B$44/C88</f>
        <v>#NAME?</v>
      </c>
      <c r="H88" s="36" t="e">
        <f ca="1">1/F88</f>
        <v>#NAME?</v>
      </c>
      <c r="I88" s="33" t="e">
        <f ca="1">IF(AG88+$B$65&gt;$B$66, TRUE,FALSE)</f>
        <v>#NAME?</v>
      </c>
      <c r="J88" s="35" t="e">
        <f ca="1">(AG88+$B$65)*$B$64</f>
        <v>#NAME?</v>
      </c>
      <c r="K88" s="35" t="e">
        <f ca="1">E88*SQRT(G88/(3*F88))</f>
        <v>#NAME?</v>
      </c>
      <c r="L88" s="35" t="e">
        <f ca="1">E88*$B$47*SQRT(AD88/(3*F88))</f>
        <v>#NAME?</v>
      </c>
      <c r="M88" s="143" t="b">
        <f>IF($B$48&gt;C88,TRUE,FALSE)</f>
        <v>0</v>
      </c>
      <c r="N88" s="144">
        <f>IF(M88=TRUE, (2*$B$32/(SQRT(C88+$B$48)))+$B$33,(2*$B$32/(SQRT(C88+$B$48)+SQRT(C88-$B$48)))+$B$33)</f>
        <v>1.4423394108932216E-10</v>
      </c>
      <c r="O88" s="144">
        <f>SQRT($B$43*N88)</f>
        <v>1.7619976112207587E-8</v>
      </c>
      <c r="P88" s="144">
        <f>1/(2*PI()*SQRT($B$44*N88))</f>
        <v>1410661.7413974551</v>
      </c>
      <c r="Q88" s="144">
        <f>IF(M88=TRUE,(1/(2*PI()*P88))*ACOS(-C88/$B$48),1/(2*P88))</f>
        <v>3.5444358156667733E-7</v>
      </c>
      <c r="R88" s="144">
        <f>IF(M88=TRUE,-($B$48*SQRT((N88/$B$42)*(1-((C88/$B$48)^2)))),0)</f>
        <v>0</v>
      </c>
      <c r="S88" s="144">
        <f>IF(M88=TRUE,0,(C88-$B$48))</f>
        <v>61.125230740355228</v>
      </c>
      <c r="T88" s="144">
        <f>IF(M88=TRUE,($B$42/C88)*(-R88),0)</f>
        <v>0</v>
      </c>
      <c r="U88" s="144">
        <f>2*$B$11*(1/C88+1/$B$48)</f>
        <v>4.0139687223450924</v>
      </c>
      <c r="V88" s="144">
        <f>U88*$B$44*(1/C88+1/$B$48)</f>
        <v>1.093784167413188E-5</v>
      </c>
      <c r="W88" s="144">
        <f>(C88+$B$48)*N88/U88</f>
        <v>5.5277614607578627E-9</v>
      </c>
      <c r="X88" s="144">
        <f>Q88+T88+O88+W88+V88</f>
        <v>1.1315432993271523E-5</v>
      </c>
      <c r="Y88" s="144">
        <f>(1/(1+C88/$B$48))*X88*C88/$B$42</f>
        <v>4.2563505995663649</v>
      </c>
      <c r="Z88" s="144">
        <f>$B$44/(2*$B$11)</f>
        <v>6.7886538461538466E-7</v>
      </c>
      <c r="AA88" s="144">
        <f>-(1/C88+1/$B$48)*$B$44</f>
        <v>-2.7249444205289256E-6</v>
      </c>
      <c r="AB88" s="144">
        <f>-(Q88+T88+O88)</f>
        <v>-3.7206355767888494E-7</v>
      </c>
      <c r="AC88" s="144">
        <f>-(C88+$B$48)*N88</f>
        <v>-2.2188261608066679E-8</v>
      </c>
      <c r="AD88" s="144" t="e">
        <f ca="1">E88*$B$44/$B$48</f>
        <v>#NAME?</v>
      </c>
      <c r="AE88" s="144" t="e">
        <f ca="1">G88/F88</f>
        <v>#NAME?</v>
      </c>
      <c r="AF88" s="144">
        <f>$B$75*($B$73*(1/$D$56+1/$D$57)+(C88/($B$50*$D$56)))</f>
        <v>1.2954545454545453E-4</v>
      </c>
      <c r="AG88" s="144" t="e">
        <f ca="1">E88*$D$54+AF88*$D$55</f>
        <v>#NAME?</v>
      </c>
      <c r="AH88" s="144">
        <f>$B$11</f>
        <v>65</v>
      </c>
    </row>
    <row r="89" spans="1:34" s="111" customFormat="1">
      <c r="B89" s="97">
        <v>20</v>
      </c>
      <c r="C89" s="35">
        <f>$E$14</f>
        <v>169.70562748477141</v>
      </c>
      <c r="D89" s="35">
        <f>C89/SQRT(2)</f>
        <v>120</v>
      </c>
      <c r="E89" s="35" t="e">
        <f ca="1">Ifind(Z89,AA89,AB89,AC89,U89,Y89)</f>
        <v>#NAME?</v>
      </c>
      <c r="F89" s="74" t="e">
        <f ca="1">(1/2)*$B$44*(E89^2)/$B$11</f>
        <v>#NAME?</v>
      </c>
      <c r="G89" s="74" t="e">
        <f ca="1">E89*$B$44/C89</f>
        <v>#NAME?</v>
      </c>
      <c r="H89" s="36" t="e">
        <f ca="1">1/F89</f>
        <v>#NAME?</v>
      </c>
      <c r="I89" s="33" t="e">
        <f ca="1">IF(AG89+$B$65&gt;$B$66, TRUE,FALSE)</f>
        <v>#NAME?</v>
      </c>
      <c r="J89" s="35" t="e">
        <f ca="1">(AG89+$B$65)*$B$64</f>
        <v>#NAME?</v>
      </c>
      <c r="K89" s="35" t="e">
        <f ca="1">E89*SQRT(G89/(3*F89))</f>
        <v>#NAME?</v>
      </c>
      <c r="L89" s="35" t="e">
        <f ca="1">E89*$B$47*SQRT(AD89/(3*F89))</f>
        <v>#NAME?</v>
      </c>
      <c r="M89" s="143" t="b">
        <f>IF($B$48&gt;C89,TRUE,FALSE)</f>
        <v>0</v>
      </c>
      <c r="N89" s="144">
        <f>IF(M89=TRUE, (2*$B$32/(SQRT(C89+$B$48)))+$B$33,(2*$B$32/(SQRT(C89+$B$48)+SQRT(C89-$B$48)))+$B$33)</f>
        <v>1.2925235023622372E-10</v>
      </c>
      <c r="O89" s="144">
        <f>SQRT($B$43*N89)</f>
        <v>1.6679798676347133E-8</v>
      </c>
      <c r="P89" s="144">
        <f>1/(2*PI()*SQRT($B$44*N89))</f>
        <v>1490175.431258366</v>
      </c>
      <c r="Q89" s="144">
        <f>IF(M89=TRUE,(1/(2*PI()*P89))*ACOS(-C89/$B$48),1/(2*P89))</f>
        <v>3.3553096468499633E-7</v>
      </c>
      <c r="R89" s="144">
        <f>IF(M89=TRUE,-($B$48*SQRT((N89/$B$42)*(1-((C89/$B$48)^2)))),0)</f>
        <v>0</v>
      </c>
      <c r="S89" s="144">
        <f>IF(M89=TRUE,0,(C89-$B$48))</f>
        <v>123.35062748477142</v>
      </c>
      <c r="T89" s="144">
        <f>IF(M89=TRUE,($B$42/C89)*(-R89),0)</f>
        <v>0</v>
      </c>
      <c r="U89" s="144">
        <f>2*$B$11*(1/C89+1/$B$48)</f>
        <v>3.5704763113377407</v>
      </c>
      <c r="V89" s="144">
        <f>U89*$B$44*(1/C89+1/$B$48)</f>
        <v>8.6543803225360686E-6</v>
      </c>
      <c r="W89" s="144">
        <f>(C89+$B$48)*N89/U89</f>
        <v>7.8214617493028126E-9</v>
      </c>
      <c r="X89" s="144">
        <f>Q89+T89+O89+W89+V89</f>
        <v>9.0144125476467151E-6</v>
      </c>
      <c r="Y89" s="144">
        <f>(1/(1+C89/$B$48))*X89*C89/$B$42</f>
        <v>3.8119875593681773</v>
      </c>
      <c r="Z89" s="144">
        <f>$B$44/(2*$B$11)</f>
        <v>6.7886538461538466E-7</v>
      </c>
      <c r="AA89" s="144">
        <f>-(1/C89+1/$B$48)*$B$44</f>
        <v>-2.4238727743564149E-6</v>
      </c>
      <c r="AB89" s="144">
        <f>-(Q89+T89+O89)</f>
        <v>-3.5221076336134348E-7</v>
      </c>
      <c r="AC89" s="144">
        <f>-(C89+$B$48)*N89</f>
        <v>-2.7926343895919938E-8</v>
      </c>
      <c r="AD89" s="144" t="e">
        <f ca="1">E89*$B$44/$B$48</f>
        <v>#NAME?</v>
      </c>
      <c r="AE89" s="144" t="e">
        <f ca="1">G89/F89</f>
        <v>#NAME?</v>
      </c>
      <c r="AF89" s="144">
        <f>$B$75*($B$73*(1/$D$56+1/$D$57)+(C89/($B$50*$D$56)))</f>
        <v>2.0454545454545451E-4</v>
      </c>
      <c r="AG89" s="144" t="e">
        <f ca="1">E89*$D$54+AF89*$D$55</f>
        <v>#NAME?</v>
      </c>
      <c r="AH89" s="144">
        <f>$B$11</f>
        <v>65</v>
      </c>
    </row>
    <row r="90" spans="1:34" s="111" customFormat="1">
      <c r="B90" s="97"/>
      <c r="C90" s="97"/>
      <c r="D90" s="97"/>
      <c r="E90" s="97"/>
      <c r="F90" s="97"/>
      <c r="G90" s="97"/>
      <c r="H90" s="97"/>
      <c r="I90" s="97"/>
      <c r="J90" s="97"/>
      <c r="K90" s="97"/>
      <c r="L90" s="97"/>
      <c r="M90" s="145"/>
      <c r="N90" s="146"/>
      <c r="O90" s="146"/>
      <c r="P90" s="146"/>
      <c r="Q90" s="146"/>
      <c r="R90" s="146"/>
      <c r="S90" s="146"/>
      <c r="T90" s="146"/>
      <c r="U90" s="146"/>
      <c r="V90" s="146"/>
      <c r="W90" s="146"/>
      <c r="X90" s="146"/>
      <c r="Y90" s="146"/>
      <c r="Z90" s="146"/>
      <c r="AA90" s="146"/>
      <c r="AB90" s="146"/>
      <c r="AC90" s="146"/>
      <c r="AD90" s="146"/>
      <c r="AE90" s="146"/>
      <c r="AF90" s="146"/>
      <c r="AG90" s="146"/>
      <c r="AH90" s="146"/>
    </row>
    <row r="91" spans="1:34">
      <c r="A91" s="78" t="s">
        <v>185</v>
      </c>
      <c r="B91" s="97">
        <v>0</v>
      </c>
      <c r="C91" s="35">
        <f>$E$13</f>
        <v>107.48023074035522</v>
      </c>
      <c r="D91" s="35">
        <f>C91/SQRT(2)</f>
        <v>76</v>
      </c>
      <c r="E91" s="35" t="e">
        <f t="shared" ref="E91:E111" ca="1" si="0">Ifind(Z91,AA91,AB91,AC91,U91,Y91)</f>
        <v>#NAME?</v>
      </c>
      <c r="F91" s="74" t="e">
        <f t="shared" ref="F91:F111" ca="1" si="1">(1/2)*$B$44*(E91^2)/$B$11</f>
        <v>#NAME?</v>
      </c>
      <c r="G91" s="74" t="e">
        <f t="shared" ref="G91:G111" ca="1" si="2">E91*$B$44/C91</f>
        <v>#NAME?</v>
      </c>
      <c r="H91" s="36" t="e">
        <f t="shared" ref="H91:H111" ca="1" si="3">1/F91</f>
        <v>#NAME?</v>
      </c>
      <c r="I91" s="33" t="e">
        <f t="shared" ref="I91:I111" ca="1" si="4">IF(AG91+$B$65&gt;$B$66, TRUE,FALSE)</f>
        <v>#NAME?</v>
      </c>
      <c r="J91" s="35" t="e">
        <f t="shared" ref="J91:J111" ca="1" si="5">(AG91+$B$65)*$B$64</f>
        <v>#NAME?</v>
      </c>
      <c r="K91" s="35" t="e">
        <f t="shared" ref="K91:K111" ca="1" si="6">E91*SQRT(G91/(3*F91))</f>
        <v>#NAME?</v>
      </c>
      <c r="L91" s="35" t="e">
        <f t="shared" ref="L91:L111" ca="1" si="7">E91*$B$47*SQRT(AD91/(3*F91))</f>
        <v>#NAME?</v>
      </c>
      <c r="M91" s="143" t="b">
        <f t="shared" ref="M91:M111" si="8">IF($B$48&gt;C91,TRUE,FALSE)</f>
        <v>0</v>
      </c>
      <c r="N91" s="144">
        <f t="shared" ref="N91:N111" si="9">IF(M91=TRUE, (2*$B$32/(SQRT(C91+$B$48)))+$B$33,(2*$B$32/(SQRT(C91+$B$48)+SQRT(C91-$B$48)))+$B$33)</f>
        <v>1.4423394108932216E-10</v>
      </c>
      <c r="O91" s="144">
        <f t="shared" ref="O91:O111" si="10">SQRT($B$43*N91)</f>
        <v>1.7619976112207587E-8</v>
      </c>
      <c r="P91" s="144">
        <f t="shared" ref="P91:P111" si="11">1/(2*PI()*SQRT($B$44*N91))</f>
        <v>1410661.7413974551</v>
      </c>
      <c r="Q91" s="144">
        <f t="shared" ref="Q91:Q111" si="12">IF(M91=TRUE,(1/(2*PI()*P91))*ACOS(-C91/$B$48),1/(2*P91))</f>
        <v>3.5444358156667733E-7</v>
      </c>
      <c r="R91" s="144">
        <f t="shared" ref="R91:R111" si="13">IF(M91=TRUE,-($B$48*SQRT((N91/$B$42)*(1-((C91/$B$48)^2)))),0)</f>
        <v>0</v>
      </c>
      <c r="S91" s="144">
        <f t="shared" ref="S91:S111" si="14">IF(M91=TRUE,0,(C91-$B$48))</f>
        <v>61.125230740355228</v>
      </c>
      <c r="T91" s="144">
        <f t="shared" ref="T91:T111" si="15">IF(M91=TRUE,($B$42/C91)*(-R91),0)</f>
        <v>0</v>
      </c>
      <c r="U91" s="144">
        <f t="shared" ref="U91:U111" si="16">2*$B$11*(1/C91+1/$B$48)</f>
        <v>4.0139687223450924</v>
      </c>
      <c r="V91" s="144">
        <f t="shared" ref="V91:V111" si="17">U91*$B$44*(1/C91+1/$B$48)</f>
        <v>1.093784167413188E-5</v>
      </c>
      <c r="W91" s="144">
        <f t="shared" ref="W91:W111" si="18">(C91+$B$48)*N91/U91</f>
        <v>5.5277614607578627E-9</v>
      </c>
      <c r="X91" s="144">
        <f t="shared" ref="X91:X111" si="19">Q91+T91+O91+W91+V91</f>
        <v>1.1315432993271523E-5</v>
      </c>
      <c r="Y91" s="144">
        <f t="shared" ref="Y91:Y111" si="20">(1/(1+C91/$B$48))*X91*C91/$B$42</f>
        <v>4.2563505995663649</v>
      </c>
      <c r="Z91" s="144">
        <f t="shared" ref="Z91:Z111" si="21">$B$44/(2*$B$11)</f>
        <v>6.7886538461538466E-7</v>
      </c>
      <c r="AA91" s="144">
        <f t="shared" ref="AA91:AA111" si="22">-(1/C91+1/$B$48)*$B$44</f>
        <v>-2.7249444205289256E-6</v>
      </c>
      <c r="AB91" s="144">
        <f t="shared" ref="AB91:AB111" si="23">-(Q91+T91+O91)</f>
        <v>-3.7206355767888494E-7</v>
      </c>
      <c r="AC91" s="144">
        <f t="shared" ref="AC91:AC111" si="24">-(C91+$B$48)*N91</f>
        <v>-2.2188261608066679E-8</v>
      </c>
      <c r="AD91" s="144" t="e">
        <f t="shared" ref="AD91:AD111" ca="1" si="25">E91*$B$44/$B$48</f>
        <v>#NAME?</v>
      </c>
      <c r="AE91" s="144" t="e">
        <f t="shared" ref="AE91:AE111" ca="1" si="26">G91/F91</f>
        <v>#NAME?</v>
      </c>
      <c r="AF91" s="144">
        <f t="shared" ref="AF91:AF111" si="27">$B$75*($B$73*(1/$B$56+1/$B$57)+C91/($B$50*$B$56))</f>
        <v>5.8658642547811616E-5</v>
      </c>
      <c r="AG91" s="144" t="e">
        <f t="shared" ref="AG91:AG111" ca="1" si="28">E91*$B$54+AF91*$B$55</f>
        <v>#NAME?</v>
      </c>
      <c r="AH91" s="144">
        <f t="shared" ref="AH91:AH111" si="29">$B$11</f>
        <v>65</v>
      </c>
    </row>
    <row r="92" spans="1:34">
      <c r="B92" s="97">
        <v>1</v>
      </c>
      <c r="C92" s="35">
        <f t="shared" ref="C92:C110" si="30">C91+($E$14-$E$13)/$B$111</f>
        <v>110.59150057757603</v>
      </c>
      <c r="D92" s="35">
        <f t="shared" ref="D92:D110" si="31">C92/SQRT(2)</f>
        <v>78.199999999999989</v>
      </c>
      <c r="E92" s="35" t="e">
        <f t="shared" ca="1" si="0"/>
        <v>#NAME?</v>
      </c>
      <c r="F92" s="74" t="e">
        <f t="shared" ca="1" si="1"/>
        <v>#NAME?</v>
      </c>
      <c r="G92" s="74" t="e">
        <f t="shared" ca="1" si="2"/>
        <v>#NAME?</v>
      </c>
      <c r="H92" s="36" t="e">
        <f t="shared" ca="1" si="3"/>
        <v>#NAME?</v>
      </c>
      <c r="I92" s="33" t="e">
        <f t="shared" ca="1" si="4"/>
        <v>#NAME?</v>
      </c>
      <c r="J92" s="35" t="e">
        <f t="shared" ca="1" si="5"/>
        <v>#NAME?</v>
      </c>
      <c r="K92" s="35" t="e">
        <f t="shared" ca="1" si="6"/>
        <v>#NAME?</v>
      </c>
      <c r="L92" s="35" t="e">
        <f t="shared" ca="1" si="7"/>
        <v>#NAME?</v>
      </c>
      <c r="M92" s="143" t="b">
        <f t="shared" si="8"/>
        <v>0</v>
      </c>
      <c r="N92" s="144">
        <f t="shared" si="9"/>
        <v>1.4315107264162696E-10</v>
      </c>
      <c r="O92" s="144">
        <f t="shared" si="10"/>
        <v>1.7553708550078584E-8</v>
      </c>
      <c r="P92" s="144">
        <f t="shared" si="11"/>
        <v>1415987.1752978966</v>
      </c>
      <c r="Q92" s="144">
        <f t="shared" si="12"/>
        <v>3.5311054275248615E-7</v>
      </c>
      <c r="R92" s="144">
        <f t="shared" si="13"/>
        <v>0</v>
      </c>
      <c r="S92" s="144">
        <f t="shared" si="14"/>
        <v>64.236500577576038</v>
      </c>
      <c r="T92" s="144">
        <f t="shared" si="15"/>
        <v>0</v>
      </c>
      <c r="U92" s="144">
        <f t="shared" si="16"/>
        <v>3.9799411716284161</v>
      </c>
      <c r="V92" s="144">
        <f t="shared" si="17"/>
        <v>1.0753181345911932E-5</v>
      </c>
      <c r="W92" s="144">
        <f t="shared" si="18"/>
        <v>5.6450733657043487E-9</v>
      </c>
      <c r="X92" s="144">
        <f t="shared" si="19"/>
        <v>1.1129490670580201E-5</v>
      </c>
      <c r="Y92" s="144">
        <f t="shared" si="20"/>
        <v>4.2222003546731353</v>
      </c>
      <c r="Z92" s="144">
        <f t="shared" si="21"/>
        <v>6.7886538461538466E-7</v>
      </c>
      <c r="AA92" s="144">
        <f t="shared" si="22"/>
        <v>-2.7018442942241292E-6</v>
      </c>
      <c r="AB92" s="144">
        <f t="shared" si="23"/>
        <v>-3.7066425130256475E-7</v>
      </c>
      <c r="AC92" s="144">
        <f t="shared" si="24"/>
        <v>-2.2467059905029731E-8</v>
      </c>
      <c r="AD92" s="144" t="e">
        <f t="shared" ca="1" si="25"/>
        <v>#NAME?</v>
      </c>
      <c r="AE92" s="144" t="e">
        <f t="shared" ca="1" si="26"/>
        <v>#NAME?</v>
      </c>
      <c r="AF92" s="144">
        <f t="shared" si="27"/>
        <v>6.0356655884721951E-5</v>
      </c>
      <c r="AG92" s="144" t="e">
        <f t="shared" ca="1" si="28"/>
        <v>#NAME?</v>
      </c>
      <c r="AH92" s="144">
        <f t="shared" si="29"/>
        <v>65</v>
      </c>
    </row>
    <row r="93" spans="1:34">
      <c r="B93" s="97">
        <v>2</v>
      </c>
      <c r="C93" s="35">
        <f t="shared" si="30"/>
        <v>113.70277041479683</v>
      </c>
      <c r="D93" s="35">
        <f t="shared" si="31"/>
        <v>80.399999999999991</v>
      </c>
      <c r="E93" s="35" t="e">
        <f t="shared" ca="1" si="0"/>
        <v>#NAME?</v>
      </c>
      <c r="F93" s="74" t="e">
        <f t="shared" ca="1" si="1"/>
        <v>#NAME?</v>
      </c>
      <c r="G93" s="74" t="e">
        <f t="shared" ca="1" si="2"/>
        <v>#NAME?</v>
      </c>
      <c r="H93" s="36" t="e">
        <f t="shared" ca="1" si="3"/>
        <v>#NAME?</v>
      </c>
      <c r="I93" s="33" t="e">
        <f t="shared" ca="1" si="4"/>
        <v>#NAME?</v>
      </c>
      <c r="J93" s="35" t="e">
        <f t="shared" ca="1" si="5"/>
        <v>#NAME?</v>
      </c>
      <c r="K93" s="35" t="e">
        <f t="shared" ca="1" si="6"/>
        <v>#NAME?</v>
      </c>
      <c r="L93" s="35" t="e">
        <f t="shared" ca="1" si="7"/>
        <v>#NAME?</v>
      </c>
      <c r="M93" s="143" t="b">
        <f t="shared" si="8"/>
        <v>0</v>
      </c>
      <c r="N93" s="144">
        <f t="shared" si="9"/>
        <v>1.4212064917439033E-10</v>
      </c>
      <c r="O93" s="144">
        <f t="shared" si="10"/>
        <v>1.7490417300564192E-8</v>
      </c>
      <c r="P93" s="144">
        <f t="shared" si="11"/>
        <v>1421111.1009356268</v>
      </c>
      <c r="Q93" s="144">
        <f t="shared" si="12"/>
        <v>3.5183737546685233E-7</v>
      </c>
      <c r="R93" s="144">
        <f t="shared" si="13"/>
        <v>0</v>
      </c>
      <c r="S93" s="144">
        <f t="shared" si="14"/>
        <v>67.347770414796827</v>
      </c>
      <c r="T93" s="144">
        <f t="shared" si="15"/>
        <v>0</v>
      </c>
      <c r="U93" s="144">
        <f t="shared" si="16"/>
        <v>3.9477758251798165</v>
      </c>
      <c r="V93" s="144">
        <f t="shared" si="17"/>
        <v>1.0580072190948547E-5</v>
      </c>
      <c r="W93" s="144">
        <f t="shared" si="18"/>
        <v>5.7621089048845194E-9</v>
      </c>
      <c r="X93" s="144">
        <f t="shared" si="19"/>
        <v>1.0955162092620848E-5</v>
      </c>
      <c r="Y93" s="144">
        <f t="shared" si="20"/>
        <v>4.1899276651301323</v>
      </c>
      <c r="Z93" s="144">
        <f t="shared" si="21"/>
        <v>6.7886538461538466E-7</v>
      </c>
      <c r="AA93" s="144">
        <f t="shared" si="22"/>
        <v>-2.6800083539360136E-6</v>
      </c>
      <c r="AB93" s="144">
        <f t="shared" si="23"/>
        <v>-3.6932779276741653E-7</v>
      </c>
      <c r="AC93" s="144">
        <f t="shared" si="24"/>
        <v>-2.2747514236756452E-8</v>
      </c>
      <c r="AD93" s="144" t="e">
        <f t="shared" ca="1" si="25"/>
        <v>#NAME?</v>
      </c>
      <c r="AE93" s="144" t="e">
        <f t="shared" ca="1" si="26"/>
        <v>#NAME?</v>
      </c>
      <c r="AF93" s="144">
        <f t="shared" si="27"/>
        <v>6.2054669221632279E-5</v>
      </c>
      <c r="AG93" s="144" t="e">
        <f t="shared" ca="1" si="28"/>
        <v>#NAME?</v>
      </c>
      <c r="AH93" s="144">
        <f t="shared" si="29"/>
        <v>65</v>
      </c>
    </row>
    <row r="94" spans="1:34">
      <c r="B94" s="97">
        <v>3</v>
      </c>
      <c r="C94" s="35">
        <f t="shared" si="30"/>
        <v>116.81404025201763</v>
      </c>
      <c r="D94" s="35">
        <f t="shared" si="31"/>
        <v>82.59999999999998</v>
      </c>
      <c r="E94" s="35" t="e">
        <f t="shared" ca="1" si="0"/>
        <v>#NAME?</v>
      </c>
      <c r="F94" s="74" t="e">
        <f t="shared" ca="1" si="1"/>
        <v>#NAME?</v>
      </c>
      <c r="G94" s="74" t="e">
        <f t="shared" ca="1" si="2"/>
        <v>#NAME?</v>
      </c>
      <c r="H94" s="36" t="e">
        <f t="shared" ca="1" si="3"/>
        <v>#NAME?</v>
      </c>
      <c r="I94" s="33" t="e">
        <f t="shared" ca="1" si="4"/>
        <v>#NAME?</v>
      </c>
      <c r="J94" s="35" t="e">
        <f t="shared" ca="1" si="5"/>
        <v>#NAME?</v>
      </c>
      <c r="K94" s="35" t="e">
        <f t="shared" ca="1" si="6"/>
        <v>#NAME?</v>
      </c>
      <c r="L94" s="35" t="e">
        <f t="shared" ca="1" si="7"/>
        <v>#NAME?</v>
      </c>
      <c r="M94" s="143" t="b">
        <f t="shared" si="8"/>
        <v>0</v>
      </c>
      <c r="N94" s="144">
        <f t="shared" si="9"/>
        <v>1.4113834073063498E-10</v>
      </c>
      <c r="O94" s="144">
        <f t="shared" si="10"/>
        <v>1.7429867424128384E-8</v>
      </c>
      <c r="P94" s="144">
        <f t="shared" si="11"/>
        <v>1426047.9199870497</v>
      </c>
      <c r="Q94" s="144">
        <f t="shared" si="12"/>
        <v>3.5061935366417466E-7</v>
      </c>
      <c r="R94" s="144">
        <f t="shared" si="13"/>
        <v>0</v>
      </c>
      <c r="S94" s="144">
        <f t="shared" si="14"/>
        <v>70.459040252017644</v>
      </c>
      <c r="T94" s="144">
        <f t="shared" si="15"/>
        <v>0</v>
      </c>
      <c r="U94" s="144">
        <f t="shared" si="16"/>
        <v>3.917323887016614</v>
      </c>
      <c r="V94" s="144">
        <f t="shared" si="17"/>
        <v>1.0417478819420317E-5</v>
      </c>
      <c r="W94" s="144">
        <f t="shared" si="18"/>
        <v>5.8788622702624864E-9</v>
      </c>
      <c r="X94" s="144">
        <f t="shared" si="19"/>
        <v>1.0791406902778882E-5</v>
      </c>
      <c r="Y94" s="144">
        <f t="shared" si="20"/>
        <v>4.1593818126958384</v>
      </c>
      <c r="Z94" s="144">
        <f t="shared" si="21"/>
        <v>6.7886538461538466E-7</v>
      </c>
      <c r="AA94" s="144">
        <f t="shared" si="22"/>
        <v>-2.6593355872225674E-6</v>
      </c>
      <c r="AB94" s="144">
        <f t="shared" si="23"/>
        <v>-3.6804922108830302E-7</v>
      </c>
      <c r="AC94" s="144">
        <f t="shared" si="24"/>
        <v>-2.3029407599779958E-8</v>
      </c>
      <c r="AD94" s="144" t="e">
        <f t="shared" ca="1" si="25"/>
        <v>#NAME?</v>
      </c>
      <c r="AE94" s="144" t="e">
        <f t="shared" ca="1" si="26"/>
        <v>#NAME?</v>
      </c>
      <c r="AF94" s="144">
        <f t="shared" si="27"/>
        <v>6.3752682558542613E-5</v>
      </c>
      <c r="AG94" s="144" t="e">
        <f t="shared" ca="1" si="28"/>
        <v>#NAME?</v>
      </c>
      <c r="AH94" s="144">
        <f t="shared" si="29"/>
        <v>65</v>
      </c>
    </row>
    <row r="95" spans="1:34">
      <c r="B95" s="97">
        <v>4</v>
      </c>
      <c r="C95" s="35">
        <f t="shared" si="30"/>
        <v>119.92531008923844</v>
      </c>
      <c r="D95" s="35">
        <f t="shared" si="31"/>
        <v>84.799999999999983</v>
      </c>
      <c r="E95" s="35" t="e">
        <f t="shared" ca="1" si="0"/>
        <v>#NAME?</v>
      </c>
      <c r="F95" s="74" t="e">
        <f t="shared" ca="1" si="1"/>
        <v>#NAME?</v>
      </c>
      <c r="G95" s="74" t="e">
        <f t="shared" ca="1" si="2"/>
        <v>#NAME?</v>
      </c>
      <c r="H95" s="36" t="e">
        <f t="shared" ca="1" si="3"/>
        <v>#NAME?</v>
      </c>
      <c r="I95" s="33" t="e">
        <f t="shared" ca="1" si="4"/>
        <v>#NAME?</v>
      </c>
      <c r="J95" s="35" t="e">
        <f t="shared" ca="1" si="5"/>
        <v>#NAME?</v>
      </c>
      <c r="K95" s="35" t="e">
        <f t="shared" ca="1" si="6"/>
        <v>#NAME?</v>
      </c>
      <c r="L95" s="35" t="e">
        <f t="shared" ca="1" si="7"/>
        <v>#NAME?</v>
      </c>
      <c r="M95" s="143" t="b">
        <f t="shared" si="8"/>
        <v>0</v>
      </c>
      <c r="N95" s="144">
        <f t="shared" si="9"/>
        <v>1.4020032390442429E-10</v>
      </c>
      <c r="O95" s="144">
        <f t="shared" si="10"/>
        <v>1.7371850713273855E-8</v>
      </c>
      <c r="P95" s="144">
        <f t="shared" si="11"/>
        <v>1430810.487384395</v>
      </c>
      <c r="Q95" s="144">
        <f t="shared" si="12"/>
        <v>3.4945228904075842E-7</v>
      </c>
      <c r="R95" s="144">
        <f t="shared" si="13"/>
        <v>0</v>
      </c>
      <c r="S95" s="144">
        <f t="shared" si="14"/>
        <v>73.570310089238433</v>
      </c>
      <c r="T95" s="144">
        <f t="shared" si="15"/>
        <v>0</v>
      </c>
      <c r="U95" s="144">
        <f t="shared" si="16"/>
        <v>3.8884520022486724</v>
      </c>
      <c r="V95" s="144">
        <f t="shared" si="17"/>
        <v>1.0264484650650406E-5</v>
      </c>
      <c r="W95" s="144">
        <f t="shared" si="18"/>
        <v>5.9953301005021551E-9</v>
      </c>
      <c r="X95" s="144">
        <f t="shared" si="19"/>
        <v>1.063730412050494E-5</v>
      </c>
      <c r="Y95" s="144">
        <f t="shared" si="20"/>
        <v>4.1304277917027878</v>
      </c>
      <c r="Z95" s="144">
        <f t="shared" si="21"/>
        <v>6.7886538461538466E-7</v>
      </c>
      <c r="AA95" s="144">
        <f t="shared" si="22"/>
        <v>-2.6397354640650075E-6</v>
      </c>
      <c r="AB95" s="144">
        <f t="shared" si="23"/>
        <v>-3.6682413975403225E-7</v>
      </c>
      <c r="AC95" s="144">
        <f t="shared" si="24"/>
        <v>-2.3312553333439339E-8</v>
      </c>
      <c r="AD95" s="144" t="e">
        <f t="shared" ca="1" si="25"/>
        <v>#NAME?</v>
      </c>
      <c r="AE95" s="144" t="e">
        <f t="shared" ca="1" si="26"/>
        <v>#NAME?</v>
      </c>
      <c r="AF95" s="144">
        <f t="shared" si="27"/>
        <v>6.5450695895452948E-5</v>
      </c>
      <c r="AG95" s="144" t="e">
        <f t="shared" ca="1" si="28"/>
        <v>#NAME?</v>
      </c>
      <c r="AH95" s="144">
        <f t="shared" si="29"/>
        <v>65</v>
      </c>
    </row>
    <row r="96" spans="1:34">
      <c r="B96" s="97">
        <v>5</v>
      </c>
      <c r="C96" s="35">
        <f t="shared" si="30"/>
        <v>123.03657992645924</v>
      </c>
      <c r="D96" s="35">
        <f t="shared" si="31"/>
        <v>86.999999999999972</v>
      </c>
      <c r="E96" s="35" t="e">
        <f t="shared" ca="1" si="0"/>
        <v>#NAME?</v>
      </c>
      <c r="F96" s="74" t="e">
        <f t="shared" ca="1" si="1"/>
        <v>#NAME?</v>
      </c>
      <c r="G96" s="74" t="e">
        <f t="shared" ca="1" si="2"/>
        <v>#NAME?</v>
      </c>
      <c r="H96" s="36" t="e">
        <f t="shared" ca="1" si="3"/>
        <v>#NAME?</v>
      </c>
      <c r="I96" s="33" t="e">
        <f t="shared" ca="1" si="4"/>
        <v>#NAME?</v>
      </c>
      <c r="J96" s="35" t="e">
        <f t="shared" ca="1" si="5"/>
        <v>#NAME?</v>
      </c>
      <c r="K96" s="35" t="e">
        <f t="shared" ca="1" si="6"/>
        <v>#NAME?</v>
      </c>
      <c r="L96" s="35" t="e">
        <f t="shared" ca="1" si="7"/>
        <v>#NAME?</v>
      </c>
      <c r="M96" s="143" t="b">
        <f t="shared" si="8"/>
        <v>0</v>
      </c>
      <c r="N96" s="144">
        <f t="shared" si="9"/>
        <v>1.3930320548510747E-10</v>
      </c>
      <c r="O96" s="144">
        <f t="shared" si="10"/>
        <v>1.7316181732896368E-8</v>
      </c>
      <c r="P96" s="144">
        <f t="shared" si="11"/>
        <v>1435410.3329031554</v>
      </c>
      <c r="Q96" s="144">
        <f t="shared" si="12"/>
        <v>3.483324513825512E-7</v>
      </c>
      <c r="R96" s="144">
        <f t="shared" si="13"/>
        <v>0</v>
      </c>
      <c r="S96" s="144">
        <f t="shared" si="14"/>
        <v>76.68157992645925</v>
      </c>
      <c r="T96" s="144">
        <f t="shared" si="15"/>
        <v>0</v>
      </c>
      <c r="U96" s="144">
        <f t="shared" si="16"/>
        <v>3.8610403047563508</v>
      </c>
      <c r="V96" s="144">
        <f t="shared" si="17"/>
        <v>1.0120275490886083E-5</v>
      </c>
      <c r="W96" s="144">
        <f t="shared" si="18"/>
        <v>6.1115109409435759E-9</v>
      </c>
      <c r="X96" s="144">
        <f t="shared" si="19"/>
        <v>1.0492035634942475E-5</v>
      </c>
      <c r="Y96" s="144">
        <f t="shared" si="20"/>
        <v>4.1029443135696253</v>
      </c>
      <c r="Z96" s="144">
        <f t="shared" si="21"/>
        <v>6.7886538461538466E-7</v>
      </c>
      <c r="AA96" s="144">
        <f t="shared" si="22"/>
        <v>-2.6211266115039218E-6</v>
      </c>
      <c r="AB96" s="144">
        <f t="shared" si="23"/>
        <v>-3.6564863311544759E-7</v>
      </c>
      <c r="AC96" s="144">
        <f t="shared" si="24"/>
        <v>-2.3596790065942556E-8</v>
      </c>
      <c r="AD96" s="144" t="e">
        <f t="shared" ca="1" si="25"/>
        <v>#NAME?</v>
      </c>
      <c r="AE96" s="144" t="e">
        <f t="shared" ca="1" si="26"/>
        <v>#NAME?</v>
      </c>
      <c r="AF96" s="144">
        <f t="shared" si="27"/>
        <v>6.7148709232363283E-5</v>
      </c>
      <c r="AG96" s="144" t="e">
        <f t="shared" ca="1" si="28"/>
        <v>#NAME?</v>
      </c>
      <c r="AH96" s="144">
        <f t="shared" si="29"/>
        <v>65</v>
      </c>
    </row>
    <row r="97" spans="2:34">
      <c r="B97" s="97">
        <v>6</v>
      </c>
      <c r="C97" s="35">
        <f t="shared" si="30"/>
        <v>126.14784976368004</v>
      </c>
      <c r="D97" s="35">
        <f t="shared" si="31"/>
        <v>89.199999999999974</v>
      </c>
      <c r="E97" s="35" t="e">
        <f t="shared" ca="1" si="0"/>
        <v>#NAME?</v>
      </c>
      <c r="F97" s="74" t="e">
        <f t="shared" ca="1" si="1"/>
        <v>#NAME?</v>
      </c>
      <c r="G97" s="74" t="e">
        <f t="shared" ca="1" si="2"/>
        <v>#NAME?</v>
      </c>
      <c r="H97" s="36" t="e">
        <f t="shared" ca="1" si="3"/>
        <v>#NAME?</v>
      </c>
      <c r="I97" s="33" t="e">
        <f t="shared" ca="1" si="4"/>
        <v>#NAME?</v>
      </c>
      <c r="J97" s="35" t="e">
        <f t="shared" ca="1" si="5"/>
        <v>#NAME?</v>
      </c>
      <c r="K97" s="35" t="e">
        <f t="shared" ca="1" si="6"/>
        <v>#NAME?</v>
      </c>
      <c r="L97" s="35" t="e">
        <f t="shared" ca="1" si="7"/>
        <v>#NAME?</v>
      </c>
      <c r="M97" s="143" t="b">
        <f t="shared" si="8"/>
        <v>0</v>
      </c>
      <c r="N97" s="144">
        <f t="shared" si="9"/>
        <v>1.3844396008439944E-10</v>
      </c>
      <c r="O97" s="144">
        <f t="shared" si="10"/>
        <v>1.7262694577662834E-8</v>
      </c>
      <c r="P97" s="144">
        <f t="shared" si="11"/>
        <v>1439857.8433977889</v>
      </c>
      <c r="Q97" s="144">
        <f t="shared" si="12"/>
        <v>3.4725650333653473E-7</v>
      </c>
      <c r="R97" s="144">
        <f t="shared" si="13"/>
        <v>0</v>
      </c>
      <c r="S97" s="144">
        <f t="shared" si="14"/>
        <v>79.792849763680039</v>
      </c>
      <c r="T97" s="144">
        <f t="shared" si="15"/>
        <v>0</v>
      </c>
      <c r="U97" s="144">
        <f t="shared" si="16"/>
        <v>3.8349807537771028</v>
      </c>
      <c r="V97" s="144">
        <f t="shared" si="17"/>
        <v>9.9841257433915763E-6</v>
      </c>
      <c r="W97" s="144">
        <f t="shared" si="18"/>
        <v>6.2274048242892812E-9</v>
      </c>
      <c r="X97" s="144">
        <f t="shared" si="19"/>
        <v>1.0354872346130063E-5</v>
      </c>
      <c r="Y97" s="144">
        <f t="shared" si="20"/>
        <v>4.0768221079396563</v>
      </c>
      <c r="Z97" s="144">
        <f t="shared" si="21"/>
        <v>6.7886538461538466E-7</v>
      </c>
      <c r="AA97" s="144">
        <f t="shared" si="22"/>
        <v>-2.6034356844054905E-6</v>
      </c>
      <c r="AB97" s="144">
        <f t="shared" si="23"/>
        <v>-3.6451919791419756E-7</v>
      </c>
      <c r="AC97" s="144">
        <f t="shared" si="24"/>
        <v>-2.3881977647128074E-8</v>
      </c>
      <c r="AD97" s="144" t="e">
        <f t="shared" ca="1" si="25"/>
        <v>#NAME?</v>
      </c>
      <c r="AE97" s="144" t="e">
        <f t="shared" ca="1" si="26"/>
        <v>#NAME?</v>
      </c>
      <c r="AF97" s="144">
        <f t="shared" si="27"/>
        <v>6.8846722569273618E-5</v>
      </c>
      <c r="AG97" s="144" t="e">
        <f t="shared" ca="1" si="28"/>
        <v>#NAME?</v>
      </c>
      <c r="AH97" s="144">
        <f t="shared" si="29"/>
        <v>65</v>
      </c>
    </row>
    <row r="98" spans="2:34">
      <c r="B98" s="97">
        <v>7</v>
      </c>
      <c r="C98" s="35">
        <f t="shared" si="30"/>
        <v>129.25911960090085</v>
      </c>
      <c r="D98" s="35">
        <f t="shared" si="31"/>
        <v>91.399999999999963</v>
      </c>
      <c r="E98" s="35" t="e">
        <f t="shared" ca="1" si="0"/>
        <v>#NAME?</v>
      </c>
      <c r="F98" s="74" t="e">
        <f t="shared" ca="1" si="1"/>
        <v>#NAME?</v>
      </c>
      <c r="G98" s="74" t="e">
        <f t="shared" ca="1" si="2"/>
        <v>#NAME?</v>
      </c>
      <c r="H98" s="36" t="e">
        <f t="shared" ca="1" si="3"/>
        <v>#NAME?</v>
      </c>
      <c r="I98" s="33" t="e">
        <f t="shared" ca="1" si="4"/>
        <v>#NAME?</v>
      </c>
      <c r="J98" s="35" t="e">
        <f t="shared" ca="1" si="5"/>
        <v>#NAME?</v>
      </c>
      <c r="K98" s="35" t="e">
        <f t="shared" ca="1" si="6"/>
        <v>#NAME?</v>
      </c>
      <c r="L98" s="35" t="e">
        <f t="shared" ca="1" si="7"/>
        <v>#NAME?</v>
      </c>
      <c r="M98" s="143" t="b">
        <f t="shared" si="8"/>
        <v>0</v>
      </c>
      <c r="N98" s="144">
        <f t="shared" si="9"/>
        <v>1.3761987875685695E-10</v>
      </c>
      <c r="O98" s="144">
        <f t="shared" si="10"/>
        <v>1.7211240194249065E-8</v>
      </c>
      <c r="P98" s="144">
        <f t="shared" si="11"/>
        <v>1444162.4139400248</v>
      </c>
      <c r="Q98" s="144">
        <f t="shared" si="12"/>
        <v>3.4622144654483763E-7</v>
      </c>
      <c r="R98" s="144">
        <f t="shared" si="13"/>
        <v>0</v>
      </c>
      <c r="S98" s="144">
        <f t="shared" si="14"/>
        <v>82.904119600900856</v>
      </c>
      <c r="T98" s="144">
        <f t="shared" si="15"/>
        <v>0</v>
      </c>
      <c r="U98" s="144">
        <f t="shared" si="16"/>
        <v>3.8101757107224583</v>
      </c>
      <c r="V98" s="144">
        <f t="shared" si="17"/>
        <v>9.8553867740999823E-6</v>
      </c>
      <c r="W98" s="144">
        <f t="shared" si="18"/>
        <v>6.3430129428035189E-9</v>
      </c>
      <c r="X98" s="144">
        <f t="shared" si="19"/>
        <v>1.0225162473781873E-5</v>
      </c>
      <c r="Y98" s="144">
        <f t="shared" si="20"/>
        <v>4.0519624702234136</v>
      </c>
      <c r="Z98" s="144">
        <f t="shared" si="21"/>
        <v>6.7886538461538466E-7</v>
      </c>
      <c r="AA98" s="144">
        <f t="shared" si="22"/>
        <v>-2.586596399311798E-6</v>
      </c>
      <c r="AB98" s="144">
        <f t="shared" si="23"/>
        <v>-3.6343268673908672E-7</v>
      </c>
      <c r="AC98" s="144">
        <f t="shared" si="24"/>
        <v>-2.416799384746815E-8</v>
      </c>
      <c r="AD98" s="144" t="e">
        <f t="shared" ca="1" si="25"/>
        <v>#NAME?</v>
      </c>
      <c r="AE98" s="144" t="e">
        <f t="shared" ca="1" si="26"/>
        <v>#NAME?</v>
      </c>
      <c r="AF98" s="144">
        <f t="shared" si="27"/>
        <v>7.0544735906183953E-5</v>
      </c>
      <c r="AG98" s="144" t="e">
        <f t="shared" ca="1" si="28"/>
        <v>#NAME?</v>
      </c>
      <c r="AH98" s="144">
        <f t="shared" si="29"/>
        <v>65</v>
      </c>
    </row>
    <row r="99" spans="2:34">
      <c r="B99" s="97">
        <v>8</v>
      </c>
      <c r="C99" s="35">
        <f t="shared" si="30"/>
        <v>132.37038943812166</v>
      </c>
      <c r="D99" s="35">
        <f t="shared" si="31"/>
        <v>93.599999999999966</v>
      </c>
      <c r="E99" s="35" t="e">
        <f t="shared" ca="1" si="0"/>
        <v>#NAME?</v>
      </c>
      <c r="F99" s="74" t="e">
        <f t="shared" ca="1" si="1"/>
        <v>#NAME?</v>
      </c>
      <c r="G99" s="74" t="e">
        <f t="shared" ca="1" si="2"/>
        <v>#NAME?</v>
      </c>
      <c r="H99" s="36" t="e">
        <f t="shared" ca="1" si="3"/>
        <v>#NAME?</v>
      </c>
      <c r="I99" s="33" t="e">
        <f t="shared" ca="1" si="4"/>
        <v>#NAME?</v>
      </c>
      <c r="J99" s="35" t="e">
        <f t="shared" ca="1" si="5"/>
        <v>#NAME?</v>
      </c>
      <c r="K99" s="35" t="e">
        <f t="shared" ca="1" si="6"/>
        <v>#NAME?</v>
      </c>
      <c r="L99" s="35" t="e">
        <f t="shared" ca="1" si="7"/>
        <v>#NAME?</v>
      </c>
      <c r="M99" s="143" t="b">
        <f t="shared" si="8"/>
        <v>0</v>
      </c>
      <c r="N99" s="144">
        <f t="shared" si="9"/>
        <v>1.3682852634956541E-10</v>
      </c>
      <c r="O99" s="144">
        <f t="shared" si="10"/>
        <v>1.7161684153003155E-8</v>
      </c>
      <c r="P99" s="144">
        <f t="shared" si="11"/>
        <v>1448332.574136015</v>
      </c>
      <c r="Q99" s="144">
        <f t="shared" si="12"/>
        <v>3.4522457681949802E-7</v>
      </c>
      <c r="R99" s="144">
        <f t="shared" si="13"/>
        <v>0</v>
      </c>
      <c r="S99" s="144">
        <f t="shared" si="14"/>
        <v>86.015389438121673</v>
      </c>
      <c r="T99" s="144">
        <f t="shared" si="15"/>
        <v>0</v>
      </c>
      <c r="U99" s="144">
        <f t="shared" si="16"/>
        <v>3.7865367167002968</v>
      </c>
      <c r="V99" s="144">
        <f t="shared" si="17"/>
        <v>9.7334770518185395E-6</v>
      </c>
      <c r="W99" s="144">
        <f t="shared" si="18"/>
        <v>6.4583373905273963E-9</v>
      </c>
      <c r="X99" s="144">
        <f t="shared" si="19"/>
        <v>1.0102321650181568E-5</v>
      </c>
      <c r="Y99" s="144">
        <f t="shared" si="20"/>
        <v>4.0282760148195429</v>
      </c>
      <c r="Z99" s="144">
        <f t="shared" si="21"/>
        <v>6.7886538461538466E-7</v>
      </c>
      <c r="AA99" s="144">
        <f t="shared" si="22"/>
        <v>-2.5705487045430229E-6</v>
      </c>
      <c r="AB99" s="144">
        <f t="shared" si="23"/>
        <v>-3.6238626097250118E-7</v>
      </c>
      <c r="AC99" s="144">
        <f t="shared" si="24"/>
        <v>-2.4454731658070369E-8</v>
      </c>
      <c r="AD99" s="144" t="e">
        <f t="shared" ca="1" si="25"/>
        <v>#NAME?</v>
      </c>
      <c r="AE99" s="144" t="e">
        <f t="shared" ca="1" si="26"/>
        <v>#NAME?</v>
      </c>
      <c r="AF99" s="144">
        <f t="shared" si="27"/>
        <v>7.2242749243094288E-5</v>
      </c>
      <c r="AG99" s="144" t="e">
        <f t="shared" ca="1" si="28"/>
        <v>#NAME?</v>
      </c>
      <c r="AH99" s="144">
        <f t="shared" si="29"/>
        <v>65</v>
      </c>
    </row>
    <row r="100" spans="2:34">
      <c r="B100" s="97">
        <v>9</v>
      </c>
      <c r="C100" s="35">
        <f t="shared" si="30"/>
        <v>135.48165927534248</v>
      </c>
      <c r="D100" s="35">
        <f t="shared" si="31"/>
        <v>95.799999999999969</v>
      </c>
      <c r="E100" s="35" t="e">
        <f t="shared" ca="1" si="0"/>
        <v>#NAME?</v>
      </c>
      <c r="F100" s="74" t="e">
        <f t="shared" ca="1" si="1"/>
        <v>#NAME?</v>
      </c>
      <c r="G100" s="74" t="e">
        <f t="shared" ca="1" si="2"/>
        <v>#NAME?</v>
      </c>
      <c r="H100" s="36" t="e">
        <f t="shared" ca="1" si="3"/>
        <v>#NAME?</v>
      </c>
      <c r="I100" s="33" t="e">
        <f t="shared" ca="1" si="4"/>
        <v>#NAME?</v>
      </c>
      <c r="J100" s="35" t="e">
        <f t="shared" ca="1" si="5"/>
        <v>#NAME?</v>
      </c>
      <c r="K100" s="35" t="e">
        <f t="shared" ca="1" si="6"/>
        <v>#NAME?</v>
      </c>
      <c r="L100" s="35" t="e">
        <f t="shared" ca="1" si="7"/>
        <v>#NAME?</v>
      </c>
      <c r="M100" s="143" t="b">
        <f t="shared" si="8"/>
        <v>0</v>
      </c>
      <c r="N100" s="144">
        <f t="shared" si="9"/>
        <v>1.3606770584659241E-10</v>
      </c>
      <c r="O100" s="144">
        <f t="shared" si="10"/>
        <v>1.7113904780464048E-8</v>
      </c>
      <c r="P100" s="144">
        <f t="shared" si="11"/>
        <v>1452376.0944493427</v>
      </c>
      <c r="Q100" s="144">
        <f t="shared" si="12"/>
        <v>3.4426344657619225E-7</v>
      </c>
      <c r="R100" s="144">
        <f t="shared" si="13"/>
        <v>0</v>
      </c>
      <c r="S100" s="144">
        <f t="shared" si="14"/>
        <v>89.12665927534249</v>
      </c>
      <c r="T100" s="144">
        <f t="shared" si="15"/>
        <v>0</v>
      </c>
      <c r="U100" s="144">
        <f t="shared" si="16"/>
        <v>3.7639834384787361</v>
      </c>
      <c r="V100" s="144">
        <f t="shared" si="17"/>
        <v>9.6178737567085599E-6</v>
      </c>
      <c r="W100" s="144">
        <f t="shared" si="18"/>
        <v>6.5733809595092677E-9</v>
      </c>
      <c r="X100" s="144">
        <f t="shared" si="19"/>
        <v>9.9858244890247253E-6</v>
      </c>
      <c r="Y100" s="144">
        <f t="shared" si="20"/>
        <v>4.0056816008089324</v>
      </c>
      <c r="Z100" s="144">
        <f t="shared" si="21"/>
        <v>6.7886538461538466E-7</v>
      </c>
      <c r="AA100" s="144">
        <f t="shared" si="22"/>
        <v>-2.5552380646488049E-6</v>
      </c>
      <c r="AB100" s="144">
        <f t="shared" si="23"/>
        <v>-3.613773513566563E-7</v>
      </c>
      <c r="AC100" s="144">
        <f t="shared" si="24"/>
        <v>-2.4742097066404348E-8</v>
      </c>
      <c r="AD100" s="144" t="e">
        <f t="shared" ca="1" si="25"/>
        <v>#NAME?</v>
      </c>
      <c r="AE100" s="144" t="e">
        <f t="shared" ca="1" si="26"/>
        <v>#NAME?</v>
      </c>
      <c r="AF100" s="144">
        <f t="shared" si="27"/>
        <v>7.3940762580004623E-5</v>
      </c>
      <c r="AG100" s="144" t="e">
        <f t="shared" ca="1" si="28"/>
        <v>#NAME?</v>
      </c>
      <c r="AH100" s="144">
        <f t="shared" si="29"/>
        <v>65</v>
      </c>
    </row>
    <row r="101" spans="2:34">
      <c r="B101" s="97">
        <v>10</v>
      </c>
      <c r="C101" s="35">
        <f t="shared" si="30"/>
        <v>138.5929291125633</v>
      </c>
      <c r="D101" s="35">
        <f t="shared" si="31"/>
        <v>97.999999999999986</v>
      </c>
      <c r="E101" s="35" t="e">
        <f t="shared" ca="1" si="0"/>
        <v>#NAME?</v>
      </c>
      <c r="F101" s="74" t="e">
        <f t="shared" ca="1" si="1"/>
        <v>#NAME?</v>
      </c>
      <c r="G101" s="74" t="e">
        <f t="shared" ca="1" si="2"/>
        <v>#NAME?</v>
      </c>
      <c r="H101" s="36" t="e">
        <f t="shared" ca="1" si="3"/>
        <v>#NAME?</v>
      </c>
      <c r="I101" s="33" t="e">
        <f t="shared" ca="1" si="4"/>
        <v>#NAME?</v>
      </c>
      <c r="J101" s="35" t="e">
        <f t="shared" ca="1" si="5"/>
        <v>#NAME?</v>
      </c>
      <c r="K101" s="35" t="e">
        <f t="shared" ca="1" si="6"/>
        <v>#NAME?</v>
      </c>
      <c r="L101" s="35" t="e">
        <f t="shared" ca="1" si="7"/>
        <v>#NAME?</v>
      </c>
      <c r="M101" s="143" t="b">
        <f t="shared" si="8"/>
        <v>0</v>
      </c>
      <c r="N101" s="144">
        <f t="shared" si="9"/>
        <v>1.3533542836562913E-10</v>
      </c>
      <c r="O101" s="144">
        <f t="shared" si="10"/>
        <v>1.7067791584063145E-8</v>
      </c>
      <c r="P101" s="144">
        <f t="shared" si="11"/>
        <v>1456300.0762815243</v>
      </c>
      <c r="Q101" s="144">
        <f t="shared" si="12"/>
        <v>3.4333583314551902E-7</v>
      </c>
      <c r="R101" s="144">
        <f t="shared" si="13"/>
        <v>0</v>
      </c>
      <c r="S101" s="144">
        <f t="shared" si="14"/>
        <v>92.237929112563307</v>
      </c>
      <c r="T101" s="144">
        <f t="shared" si="15"/>
        <v>0</v>
      </c>
      <c r="U101" s="144">
        <f t="shared" si="16"/>
        <v>3.742442756422224</v>
      </c>
      <c r="V101" s="144">
        <f t="shared" si="17"/>
        <v>9.5081056094560637E-6</v>
      </c>
      <c r="W101" s="144">
        <f t="shared" si="18"/>
        <v>6.6881469780217704E-9</v>
      </c>
      <c r="X101" s="144">
        <f t="shared" si="19"/>
        <v>9.8751973811636676E-6</v>
      </c>
      <c r="Y101" s="144">
        <f t="shared" si="20"/>
        <v>3.9841054029086633</v>
      </c>
      <c r="Z101" s="144">
        <f t="shared" si="21"/>
        <v>6.7886538461538466E-7</v>
      </c>
      <c r="AA101" s="144">
        <f t="shared" si="22"/>
        <v>-2.5406148412396335E-6</v>
      </c>
      <c r="AB101" s="144">
        <f t="shared" si="23"/>
        <v>-3.6040362472958218E-7</v>
      </c>
      <c r="AC101" s="144">
        <f t="shared" si="24"/>
        <v>-2.5030007211784762E-8</v>
      </c>
      <c r="AD101" s="144" t="e">
        <f t="shared" ca="1" si="25"/>
        <v>#NAME?</v>
      </c>
      <c r="AE101" s="144" t="e">
        <f t="shared" ca="1" si="26"/>
        <v>#NAME?</v>
      </c>
      <c r="AF101" s="144">
        <f t="shared" si="27"/>
        <v>7.5638775916914971E-5</v>
      </c>
      <c r="AG101" s="144" t="e">
        <f t="shared" ca="1" si="28"/>
        <v>#NAME?</v>
      </c>
      <c r="AH101" s="144">
        <f t="shared" si="29"/>
        <v>65</v>
      </c>
    </row>
    <row r="102" spans="2:34">
      <c r="B102" s="97">
        <v>11</v>
      </c>
      <c r="C102" s="35">
        <f t="shared" si="30"/>
        <v>141.70419894978411</v>
      </c>
      <c r="D102" s="35">
        <f t="shared" si="31"/>
        <v>100.19999999999999</v>
      </c>
      <c r="E102" s="35" t="e">
        <f t="shared" ca="1" si="0"/>
        <v>#NAME?</v>
      </c>
      <c r="F102" s="74" t="e">
        <f t="shared" ca="1" si="1"/>
        <v>#NAME?</v>
      </c>
      <c r="G102" s="74" t="e">
        <f t="shared" ca="1" si="2"/>
        <v>#NAME?</v>
      </c>
      <c r="H102" s="36" t="e">
        <f t="shared" ca="1" si="3"/>
        <v>#NAME?</v>
      </c>
      <c r="I102" s="33" t="e">
        <f t="shared" ca="1" si="4"/>
        <v>#NAME?</v>
      </c>
      <c r="J102" s="35" t="e">
        <f t="shared" ca="1" si="5"/>
        <v>#NAME?</v>
      </c>
      <c r="K102" s="35" t="e">
        <f t="shared" ca="1" si="6"/>
        <v>#NAME?</v>
      </c>
      <c r="L102" s="35" t="e">
        <f t="shared" ca="1" si="7"/>
        <v>#NAME?</v>
      </c>
      <c r="M102" s="143" t="b">
        <f t="shared" si="8"/>
        <v>0</v>
      </c>
      <c r="N102" s="144">
        <f t="shared" si="9"/>
        <v>1.3462988775751869E-10</v>
      </c>
      <c r="O102" s="144">
        <f t="shared" si="10"/>
        <v>1.7023243915248909E-8</v>
      </c>
      <c r="P102" s="144">
        <f t="shared" si="11"/>
        <v>1460111.0287542325</v>
      </c>
      <c r="Q102" s="144">
        <f t="shared" si="12"/>
        <v>3.4243971188040424E-7</v>
      </c>
      <c r="R102" s="144">
        <f t="shared" si="13"/>
        <v>0</v>
      </c>
      <c r="S102" s="144">
        <f t="shared" si="14"/>
        <v>95.349198949784125</v>
      </c>
      <c r="T102" s="144">
        <f t="shared" si="15"/>
        <v>0</v>
      </c>
      <c r="U102" s="144">
        <f t="shared" si="16"/>
        <v>3.7218479725797708</v>
      </c>
      <c r="V102" s="144">
        <f t="shared" si="17"/>
        <v>9.4037467199325977E-6</v>
      </c>
      <c r="W102" s="144">
        <f t="shared" si="18"/>
        <v>6.8026391816399369E-9</v>
      </c>
      <c r="X102" s="144">
        <f t="shared" si="19"/>
        <v>9.7700123149098913E-6</v>
      </c>
      <c r="Y102" s="144">
        <f t="shared" si="20"/>
        <v>3.9634801052736228</v>
      </c>
      <c r="Z102" s="144">
        <f t="shared" si="21"/>
        <v>6.7886538461538466E-7</v>
      </c>
      <c r="AA102" s="144">
        <f t="shared" si="22"/>
        <v>-2.5266337553853558E-6</v>
      </c>
      <c r="AB102" s="144">
        <f t="shared" si="23"/>
        <v>-3.5946295579565314E-7</v>
      </c>
      <c r="AC102" s="144">
        <f t="shared" si="24"/>
        <v>-2.531838884637831E-8</v>
      </c>
      <c r="AD102" s="144" t="e">
        <f t="shared" ca="1" si="25"/>
        <v>#NAME?</v>
      </c>
      <c r="AE102" s="144" t="e">
        <f t="shared" ca="1" si="26"/>
        <v>#NAME?</v>
      </c>
      <c r="AF102" s="144">
        <f t="shared" si="27"/>
        <v>7.7336789253825306E-5</v>
      </c>
      <c r="AG102" s="144" t="e">
        <f t="shared" ca="1" si="28"/>
        <v>#NAME?</v>
      </c>
      <c r="AH102" s="144">
        <f t="shared" si="29"/>
        <v>65</v>
      </c>
    </row>
    <row r="103" spans="2:34">
      <c r="B103" s="97">
        <v>12</v>
      </c>
      <c r="C103" s="35">
        <f t="shared" si="30"/>
        <v>144.81546878700493</v>
      </c>
      <c r="D103" s="35">
        <f t="shared" si="31"/>
        <v>102.39999999999999</v>
      </c>
      <c r="E103" s="35" t="e">
        <f t="shared" ca="1" si="0"/>
        <v>#NAME?</v>
      </c>
      <c r="F103" s="74" t="e">
        <f t="shared" ca="1" si="1"/>
        <v>#NAME?</v>
      </c>
      <c r="G103" s="74" t="e">
        <f t="shared" ca="1" si="2"/>
        <v>#NAME?</v>
      </c>
      <c r="H103" s="36" t="e">
        <f t="shared" ca="1" si="3"/>
        <v>#NAME?</v>
      </c>
      <c r="I103" s="33" t="e">
        <f t="shared" ca="1" si="4"/>
        <v>#NAME?</v>
      </c>
      <c r="J103" s="35" t="e">
        <f t="shared" ca="1" si="5"/>
        <v>#NAME?</v>
      </c>
      <c r="K103" s="35" t="e">
        <f t="shared" ca="1" si="6"/>
        <v>#NAME?</v>
      </c>
      <c r="L103" s="35" t="e">
        <f t="shared" ca="1" si="7"/>
        <v>#NAME?</v>
      </c>
      <c r="M103" s="143" t="b">
        <f t="shared" si="8"/>
        <v>0</v>
      </c>
      <c r="N103" s="144">
        <f t="shared" si="9"/>
        <v>1.3394943898123968E-10</v>
      </c>
      <c r="O103" s="144">
        <f t="shared" si="10"/>
        <v>1.6980169828571164E-8</v>
      </c>
      <c r="P103" s="144">
        <f t="shared" si="11"/>
        <v>1463814.9345247075</v>
      </c>
      <c r="Q103" s="144">
        <f t="shared" si="12"/>
        <v>3.4157323320543057E-7</v>
      </c>
      <c r="R103" s="144">
        <f t="shared" si="13"/>
        <v>0</v>
      </c>
      <c r="S103" s="144">
        <f t="shared" si="14"/>
        <v>98.460468787004942</v>
      </c>
      <c r="T103" s="144">
        <f t="shared" si="15"/>
        <v>0</v>
      </c>
      <c r="U103" s="144">
        <f t="shared" si="16"/>
        <v>3.7021381208555484</v>
      </c>
      <c r="V103" s="144">
        <f t="shared" si="17"/>
        <v>9.3044112910124656E-6</v>
      </c>
      <c r="W103" s="144">
        <f t="shared" si="18"/>
        <v>6.9168616101989712E-9</v>
      </c>
      <c r="X103" s="144">
        <f t="shared" si="19"/>
        <v>9.6698815556566662E-6</v>
      </c>
      <c r="Y103" s="144">
        <f t="shared" si="20"/>
        <v>3.943744199601634</v>
      </c>
      <c r="Z103" s="144">
        <f t="shared" si="21"/>
        <v>6.7886538461538466E-7</v>
      </c>
      <c r="AA103" s="144">
        <f t="shared" si="22"/>
        <v>-2.5132534193138789E-6</v>
      </c>
      <c r="AB103" s="144">
        <f t="shared" si="23"/>
        <v>-3.585534030340017E-7</v>
      </c>
      <c r="AC103" s="144">
        <f t="shared" si="24"/>
        <v>-2.5607177043799901E-8</v>
      </c>
      <c r="AD103" s="144" t="e">
        <f t="shared" ca="1" si="25"/>
        <v>#NAME?</v>
      </c>
      <c r="AE103" s="144" t="e">
        <f t="shared" ca="1" si="26"/>
        <v>#NAME?</v>
      </c>
      <c r="AF103" s="144">
        <f t="shared" si="27"/>
        <v>7.9034802590735654E-5</v>
      </c>
      <c r="AG103" s="144" t="e">
        <f t="shared" ca="1" si="28"/>
        <v>#NAME?</v>
      </c>
      <c r="AH103" s="144">
        <f t="shared" si="29"/>
        <v>65</v>
      </c>
    </row>
    <row r="104" spans="2:34">
      <c r="B104" s="97">
        <v>13</v>
      </c>
      <c r="C104" s="35">
        <f t="shared" si="30"/>
        <v>147.92673862422575</v>
      </c>
      <c r="D104" s="35">
        <f t="shared" si="31"/>
        <v>104.6</v>
      </c>
      <c r="E104" s="35" t="e">
        <f t="shared" ca="1" si="0"/>
        <v>#NAME?</v>
      </c>
      <c r="F104" s="74" t="e">
        <f t="shared" ca="1" si="1"/>
        <v>#NAME?</v>
      </c>
      <c r="G104" s="74" t="e">
        <f t="shared" ca="1" si="2"/>
        <v>#NAME?</v>
      </c>
      <c r="H104" s="36" t="e">
        <f t="shared" ca="1" si="3"/>
        <v>#NAME?</v>
      </c>
      <c r="I104" s="33" t="e">
        <f t="shared" ca="1" si="4"/>
        <v>#NAME?</v>
      </c>
      <c r="J104" s="35" t="e">
        <f t="shared" ca="1" si="5"/>
        <v>#NAME?</v>
      </c>
      <c r="K104" s="35" t="e">
        <f t="shared" ca="1" si="6"/>
        <v>#NAME?</v>
      </c>
      <c r="L104" s="35" t="e">
        <f t="shared" ca="1" si="7"/>
        <v>#NAME?</v>
      </c>
      <c r="M104" s="143" t="b">
        <f t="shared" si="8"/>
        <v>0</v>
      </c>
      <c r="N104" s="144">
        <f t="shared" si="9"/>
        <v>1.3329257959644921E-10</v>
      </c>
      <c r="O104" s="144">
        <f t="shared" si="10"/>
        <v>1.693848510290566E-8</v>
      </c>
      <c r="P104" s="144">
        <f t="shared" si="11"/>
        <v>1467417.3064959922</v>
      </c>
      <c r="Q104" s="144">
        <f t="shared" si="12"/>
        <v>3.4073470292778342E-7</v>
      </c>
      <c r="R104" s="144">
        <f t="shared" si="13"/>
        <v>0</v>
      </c>
      <c r="S104" s="144">
        <f t="shared" si="14"/>
        <v>101.57173862422576</v>
      </c>
      <c r="T104" s="144">
        <f t="shared" si="15"/>
        <v>0</v>
      </c>
      <c r="U104" s="144">
        <f t="shared" si="16"/>
        <v>3.6832573642325355</v>
      </c>
      <c r="V104" s="144">
        <f t="shared" si="17"/>
        <v>9.2097490426774094E-6</v>
      </c>
      <c r="W104" s="144">
        <f t="shared" si="18"/>
        <v>7.0308185252490648E-9</v>
      </c>
      <c r="X104" s="144">
        <f t="shared" si="19"/>
        <v>9.5744530492333472E-6</v>
      </c>
      <c r="Y104" s="144">
        <f t="shared" si="20"/>
        <v>3.9248413721304996</v>
      </c>
      <c r="Z104" s="144">
        <f t="shared" si="21"/>
        <v>6.7886538461538466E-7</v>
      </c>
      <c r="AA104" s="144">
        <f t="shared" si="22"/>
        <v>-2.500435927207168E-6</v>
      </c>
      <c r="AB104" s="144">
        <f t="shared" si="23"/>
        <v>-3.5767318803068909E-7</v>
      </c>
      <c r="AC104" s="144">
        <f t="shared" si="24"/>
        <v>-2.5896314109706152E-8</v>
      </c>
      <c r="AD104" s="144" t="e">
        <f t="shared" ca="1" si="25"/>
        <v>#NAME?</v>
      </c>
      <c r="AE104" s="144" t="e">
        <f t="shared" ca="1" si="26"/>
        <v>#NAME?</v>
      </c>
      <c r="AF104" s="144">
        <f t="shared" si="27"/>
        <v>8.0732815927645989E-5</v>
      </c>
      <c r="AG104" s="144" t="e">
        <f t="shared" ca="1" si="28"/>
        <v>#NAME?</v>
      </c>
      <c r="AH104" s="144">
        <f t="shared" si="29"/>
        <v>65</v>
      </c>
    </row>
    <row r="105" spans="2:34">
      <c r="B105" s="97">
        <v>14</v>
      </c>
      <c r="C105" s="35">
        <f t="shared" si="30"/>
        <v>151.03800846144657</v>
      </c>
      <c r="D105" s="35">
        <f t="shared" si="31"/>
        <v>106.8</v>
      </c>
      <c r="E105" s="35" t="e">
        <f t="shared" ca="1" si="0"/>
        <v>#NAME?</v>
      </c>
      <c r="F105" s="74" t="e">
        <f t="shared" ca="1" si="1"/>
        <v>#NAME?</v>
      </c>
      <c r="G105" s="74" t="e">
        <f t="shared" ca="1" si="2"/>
        <v>#NAME?</v>
      </c>
      <c r="H105" s="36" t="e">
        <f t="shared" ca="1" si="3"/>
        <v>#NAME?</v>
      </c>
      <c r="I105" s="33" t="e">
        <f t="shared" ca="1" si="4"/>
        <v>#NAME?</v>
      </c>
      <c r="J105" s="35" t="e">
        <f t="shared" ca="1" si="5"/>
        <v>#NAME?</v>
      </c>
      <c r="K105" s="35" t="e">
        <f t="shared" ca="1" si="6"/>
        <v>#NAME?</v>
      </c>
      <c r="L105" s="35" t="e">
        <f t="shared" ca="1" si="7"/>
        <v>#NAME?</v>
      </c>
      <c r="M105" s="143" t="b">
        <f t="shared" si="8"/>
        <v>0</v>
      </c>
      <c r="N105" s="144">
        <f t="shared" si="9"/>
        <v>1.3265793384644389E-10</v>
      </c>
      <c r="O105" s="144">
        <f t="shared" si="10"/>
        <v>1.6898112397675384E-8</v>
      </c>
      <c r="P105" s="144">
        <f t="shared" si="11"/>
        <v>1470923.2369200981</v>
      </c>
      <c r="Q105" s="144">
        <f t="shared" si="12"/>
        <v>3.3992256526379187E-7</v>
      </c>
      <c r="R105" s="144">
        <f t="shared" si="13"/>
        <v>0</v>
      </c>
      <c r="S105" s="144">
        <f t="shared" si="14"/>
        <v>104.68300846144658</v>
      </c>
      <c r="T105" s="144">
        <f t="shared" si="15"/>
        <v>0</v>
      </c>
      <c r="U105" s="144">
        <f t="shared" si="16"/>
        <v>3.6651544664966136</v>
      </c>
      <c r="V105" s="144">
        <f t="shared" si="17"/>
        <v>9.1194412452124993E-6</v>
      </c>
      <c r="W105" s="144">
        <f t="shared" si="18"/>
        <v>7.1445143438276729E-9</v>
      </c>
      <c r="X105" s="144">
        <f t="shared" si="19"/>
        <v>9.4834064372177934E-6</v>
      </c>
      <c r="Y105" s="144">
        <f t="shared" si="20"/>
        <v>3.9067199666645411</v>
      </c>
      <c r="Z105" s="144">
        <f t="shared" si="21"/>
        <v>6.7886538461538466E-7</v>
      </c>
      <c r="AA105" s="144">
        <f t="shared" si="22"/>
        <v>-2.4881464965730183E-6</v>
      </c>
      <c r="AB105" s="144">
        <f t="shared" si="23"/>
        <v>-3.5682067766146725E-7</v>
      </c>
      <c r="AC105" s="144">
        <f t="shared" si="24"/>
        <v>-2.6185748658229117E-8</v>
      </c>
      <c r="AD105" s="144" t="e">
        <f t="shared" ca="1" si="25"/>
        <v>#NAME?</v>
      </c>
      <c r="AE105" s="144" t="e">
        <f t="shared" ca="1" si="26"/>
        <v>#NAME?</v>
      </c>
      <c r="AF105" s="144">
        <f t="shared" si="27"/>
        <v>8.2430829264556338E-5</v>
      </c>
      <c r="AG105" s="144" t="e">
        <f t="shared" ca="1" si="28"/>
        <v>#NAME?</v>
      </c>
      <c r="AH105" s="144">
        <f t="shared" si="29"/>
        <v>65</v>
      </c>
    </row>
    <row r="106" spans="2:34">
      <c r="B106" s="97">
        <v>15</v>
      </c>
      <c r="C106" s="35">
        <f t="shared" si="30"/>
        <v>154.14927829866738</v>
      </c>
      <c r="D106" s="35">
        <f t="shared" si="31"/>
        <v>109.00000000000001</v>
      </c>
      <c r="E106" s="35" t="e">
        <f t="shared" ca="1" si="0"/>
        <v>#NAME?</v>
      </c>
      <c r="F106" s="74" t="e">
        <f t="shared" ca="1" si="1"/>
        <v>#NAME?</v>
      </c>
      <c r="G106" s="74" t="e">
        <f t="shared" ca="1" si="2"/>
        <v>#NAME?</v>
      </c>
      <c r="H106" s="36" t="e">
        <f t="shared" ca="1" si="3"/>
        <v>#NAME?</v>
      </c>
      <c r="I106" s="33" t="e">
        <f t="shared" ca="1" si="4"/>
        <v>#NAME?</v>
      </c>
      <c r="J106" s="35" t="e">
        <f t="shared" ca="1" si="5"/>
        <v>#NAME?</v>
      </c>
      <c r="K106" s="35" t="e">
        <f t="shared" ca="1" si="6"/>
        <v>#NAME?</v>
      </c>
      <c r="L106" s="35" t="e">
        <f t="shared" ca="1" si="7"/>
        <v>#NAME?</v>
      </c>
      <c r="M106" s="143" t="b">
        <f t="shared" si="8"/>
        <v>0</v>
      </c>
      <c r="N106" s="144">
        <f t="shared" si="9"/>
        <v>1.3204423890611698E-10</v>
      </c>
      <c r="O106" s="144">
        <f t="shared" si="10"/>
        <v>1.6858980522125792E-8</v>
      </c>
      <c r="P106" s="144">
        <f t="shared" si="11"/>
        <v>1474337.4401083998</v>
      </c>
      <c r="Q106" s="144">
        <f t="shared" si="12"/>
        <v>3.3913538813966345E-7</v>
      </c>
      <c r="R106" s="144">
        <f t="shared" si="13"/>
        <v>0</v>
      </c>
      <c r="S106" s="144">
        <f t="shared" si="14"/>
        <v>107.79427829866739</v>
      </c>
      <c r="T106" s="144">
        <f t="shared" si="15"/>
        <v>0</v>
      </c>
      <c r="U106" s="144">
        <f t="shared" si="16"/>
        <v>3.6477823279353521</v>
      </c>
      <c r="V106" s="144">
        <f t="shared" si="17"/>
        <v>9.033197269411965E-6</v>
      </c>
      <c r="W106" s="144">
        <f t="shared" si="18"/>
        <v>7.2579535852822993E-9</v>
      </c>
      <c r="X106" s="144">
        <f t="shared" si="19"/>
        <v>9.3964495916590369E-6</v>
      </c>
      <c r="Y106" s="144">
        <f t="shared" si="20"/>
        <v>3.8893325128524481</v>
      </c>
      <c r="Z106" s="144">
        <f t="shared" si="21"/>
        <v>6.7886538461538466E-7</v>
      </c>
      <c r="AA106" s="144">
        <f t="shared" si="22"/>
        <v>-2.4763531530470357E-6</v>
      </c>
      <c r="AB106" s="144">
        <f t="shared" si="23"/>
        <v>-3.5599436866178924E-7</v>
      </c>
      <c r="AC106" s="144">
        <f t="shared" si="24"/>
        <v>-2.64754348253678E-8</v>
      </c>
      <c r="AD106" s="144" t="e">
        <f t="shared" ca="1" si="25"/>
        <v>#NAME?</v>
      </c>
      <c r="AE106" s="144" t="e">
        <f t="shared" ca="1" si="26"/>
        <v>#NAME?</v>
      </c>
      <c r="AF106" s="144">
        <f t="shared" si="27"/>
        <v>8.4128842601466673E-5</v>
      </c>
      <c r="AG106" s="144" t="e">
        <f t="shared" ca="1" si="28"/>
        <v>#NAME?</v>
      </c>
      <c r="AH106" s="144">
        <f t="shared" si="29"/>
        <v>65</v>
      </c>
    </row>
    <row r="107" spans="2:34">
      <c r="B107" s="97">
        <v>16</v>
      </c>
      <c r="C107" s="35">
        <f t="shared" si="30"/>
        <v>157.2605481358882</v>
      </c>
      <c r="D107" s="35">
        <f t="shared" si="31"/>
        <v>111.20000000000002</v>
      </c>
      <c r="E107" s="35" t="e">
        <f t="shared" ca="1" si="0"/>
        <v>#NAME?</v>
      </c>
      <c r="F107" s="74" t="e">
        <f t="shared" ca="1" si="1"/>
        <v>#NAME?</v>
      </c>
      <c r="G107" s="74" t="e">
        <f t="shared" ca="1" si="2"/>
        <v>#NAME?</v>
      </c>
      <c r="H107" s="36" t="e">
        <f t="shared" ca="1" si="3"/>
        <v>#NAME?</v>
      </c>
      <c r="I107" s="33" t="e">
        <f t="shared" ca="1" si="4"/>
        <v>#NAME?</v>
      </c>
      <c r="J107" s="35" t="e">
        <f t="shared" ca="1" si="5"/>
        <v>#NAME?</v>
      </c>
      <c r="K107" s="35" t="e">
        <f t="shared" ca="1" si="6"/>
        <v>#NAME?</v>
      </c>
      <c r="L107" s="35" t="e">
        <f t="shared" ca="1" si="7"/>
        <v>#NAME?</v>
      </c>
      <c r="M107" s="143" t="b">
        <f t="shared" si="8"/>
        <v>0</v>
      </c>
      <c r="N107" s="144">
        <f t="shared" si="9"/>
        <v>1.314503329492655E-10</v>
      </c>
      <c r="O107" s="144">
        <f t="shared" si="10"/>
        <v>1.6821023799795719E-8</v>
      </c>
      <c r="P107" s="144">
        <f t="shared" si="11"/>
        <v>1477664.2897402102</v>
      </c>
      <c r="Q107" s="144">
        <f t="shared" si="12"/>
        <v>3.3837185040717574E-7</v>
      </c>
      <c r="R107" s="144">
        <f t="shared" si="13"/>
        <v>0</v>
      </c>
      <c r="S107" s="144">
        <f t="shared" si="14"/>
        <v>110.90554813588821</v>
      </c>
      <c r="T107" s="144">
        <f t="shared" si="15"/>
        <v>0</v>
      </c>
      <c r="U107" s="144">
        <f t="shared" si="16"/>
        <v>3.6310975761516948</v>
      </c>
      <c r="V107" s="144">
        <f t="shared" si="17"/>
        <v>8.9507515772227484E-6</v>
      </c>
      <c r="W107" s="144">
        <f t="shared" si="18"/>
        <v>7.3711408285745097E-9</v>
      </c>
      <c r="X107" s="144">
        <f t="shared" si="19"/>
        <v>9.3133155922582951E-6</v>
      </c>
      <c r="Y107" s="144">
        <f t="shared" si="20"/>
        <v>3.8726353106500566</v>
      </c>
      <c r="Z107" s="144">
        <f t="shared" si="21"/>
        <v>6.7886538461538466E-7</v>
      </c>
      <c r="AA107" s="144">
        <f t="shared" si="22"/>
        <v>-2.4650264526102114E-6</v>
      </c>
      <c r="AB107" s="144">
        <f t="shared" si="23"/>
        <v>-3.5519287420697148E-7</v>
      </c>
      <c r="AC107" s="144">
        <f t="shared" si="24"/>
        <v>-2.6765331596109698E-8</v>
      </c>
      <c r="AD107" s="144" t="e">
        <f t="shared" ca="1" si="25"/>
        <v>#NAME?</v>
      </c>
      <c r="AE107" s="144" t="e">
        <f t="shared" ca="1" si="26"/>
        <v>#NAME?</v>
      </c>
      <c r="AF107" s="144">
        <f t="shared" si="27"/>
        <v>8.5826855938377007E-5</v>
      </c>
      <c r="AG107" s="144" t="e">
        <f t="shared" ca="1" si="28"/>
        <v>#NAME?</v>
      </c>
      <c r="AH107" s="144">
        <f t="shared" si="29"/>
        <v>65</v>
      </c>
    </row>
    <row r="108" spans="2:34">
      <c r="B108" s="97">
        <v>17</v>
      </c>
      <c r="C108" s="35">
        <f t="shared" si="30"/>
        <v>160.37181797310902</v>
      </c>
      <c r="D108" s="35">
        <f t="shared" si="31"/>
        <v>113.40000000000002</v>
      </c>
      <c r="E108" s="35" t="e">
        <f t="shared" ca="1" si="0"/>
        <v>#NAME?</v>
      </c>
      <c r="F108" s="74" t="e">
        <f t="shared" ca="1" si="1"/>
        <v>#NAME?</v>
      </c>
      <c r="G108" s="74" t="e">
        <f t="shared" ca="1" si="2"/>
        <v>#NAME?</v>
      </c>
      <c r="H108" s="36" t="e">
        <f t="shared" ca="1" si="3"/>
        <v>#NAME?</v>
      </c>
      <c r="I108" s="33" t="e">
        <f t="shared" ca="1" si="4"/>
        <v>#NAME?</v>
      </c>
      <c r="J108" s="35" t="e">
        <f t="shared" ca="1" si="5"/>
        <v>#NAME?</v>
      </c>
      <c r="K108" s="35" t="e">
        <f t="shared" ca="1" si="6"/>
        <v>#NAME?</v>
      </c>
      <c r="L108" s="35" t="e">
        <f t="shared" ca="1" si="7"/>
        <v>#NAME?</v>
      </c>
      <c r="M108" s="143" t="b">
        <f t="shared" si="8"/>
        <v>0</v>
      </c>
      <c r="N108" s="144">
        <f t="shared" si="9"/>
        <v>1.3087514475264151E-10</v>
      </c>
      <c r="O108" s="144">
        <f t="shared" si="10"/>
        <v>1.6784181513557963E-8</v>
      </c>
      <c r="P108" s="144">
        <f t="shared" si="11"/>
        <v>1480907.8515833626</v>
      </c>
      <c r="Q108" s="144">
        <f t="shared" si="12"/>
        <v>3.3763073068010826E-7</v>
      </c>
      <c r="R108" s="144">
        <f t="shared" si="13"/>
        <v>0</v>
      </c>
      <c r="S108" s="144">
        <f t="shared" si="14"/>
        <v>114.01681797310903</v>
      </c>
      <c r="T108" s="144">
        <f t="shared" si="15"/>
        <v>0</v>
      </c>
      <c r="U108" s="144">
        <f t="shared" si="16"/>
        <v>3.6150602045077913</v>
      </c>
      <c r="V108" s="144">
        <f t="shared" si="17"/>
        <v>8.8718610888943076E-6</v>
      </c>
      <c r="W108" s="144">
        <f t="shared" si="18"/>
        <v>7.4840806780332298E-9</v>
      </c>
      <c r="X108" s="144">
        <f t="shared" si="19"/>
        <v>9.2337600817660066E-6</v>
      </c>
      <c r="Y108" s="144">
        <f t="shared" si="20"/>
        <v>3.8565880633133558</v>
      </c>
      <c r="Z108" s="144">
        <f t="shared" si="21"/>
        <v>6.7886538461538466E-7</v>
      </c>
      <c r="AA108" s="144">
        <f t="shared" si="22"/>
        <v>-2.454139236140953E-6</v>
      </c>
      <c r="AB108" s="144">
        <f t="shared" si="23"/>
        <v>-3.5441491219366623E-7</v>
      </c>
      <c r="AC108" s="144">
        <f t="shared" si="24"/>
        <v>-2.7055402226483616E-8</v>
      </c>
      <c r="AD108" s="144" t="e">
        <f t="shared" ca="1" si="25"/>
        <v>#NAME?</v>
      </c>
      <c r="AE108" s="144" t="e">
        <f t="shared" ca="1" si="26"/>
        <v>#NAME?</v>
      </c>
      <c r="AF108" s="144">
        <f t="shared" si="27"/>
        <v>8.7524869275287356E-5</v>
      </c>
      <c r="AG108" s="144" t="e">
        <f t="shared" ca="1" si="28"/>
        <v>#NAME?</v>
      </c>
      <c r="AH108" s="144">
        <f t="shared" si="29"/>
        <v>65</v>
      </c>
    </row>
    <row r="109" spans="2:34">
      <c r="B109" s="97">
        <v>18</v>
      </c>
      <c r="C109" s="35">
        <f t="shared" si="30"/>
        <v>163.48308781032983</v>
      </c>
      <c r="D109" s="35">
        <f t="shared" si="31"/>
        <v>115.60000000000002</v>
      </c>
      <c r="E109" s="35" t="e">
        <f t="shared" ca="1" si="0"/>
        <v>#NAME?</v>
      </c>
      <c r="F109" s="74" t="e">
        <f t="shared" ca="1" si="1"/>
        <v>#NAME?</v>
      </c>
      <c r="G109" s="74" t="e">
        <f t="shared" ca="1" si="2"/>
        <v>#NAME?</v>
      </c>
      <c r="H109" s="36" t="e">
        <f t="shared" ca="1" si="3"/>
        <v>#NAME?</v>
      </c>
      <c r="I109" s="33" t="e">
        <f t="shared" ca="1" si="4"/>
        <v>#NAME?</v>
      </c>
      <c r="J109" s="35" t="e">
        <f t="shared" ca="1" si="5"/>
        <v>#NAME?</v>
      </c>
      <c r="K109" s="35" t="e">
        <f t="shared" ca="1" si="6"/>
        <v>#NAME?</v>
      </c>
      <c r="L109" s="35" t="e">
        <f t="shared" ca="1" si="7"/>
        <v>#NAME?</v>
      </c>
      <c r="M109" s="143" t="b">
        <f t="shared" si="8"/>
        <v>0</v>
      </c>
      <c r="N109" s="144">
        <f t="shared" si="9"/>
        <v>1.3031768460431308E-10</v>
      </c>
      <c r="O109" s="144">
        <f t="shared" si="10"/>
        <v>1.6748397419179661E-8</v>
      </c>
      <c r="P109" s="144">
        <f t="shared" si="11"/>
        <v>1484071.9122991622</v>
      </c>
      <c r="Q109" s="144">
        <f t="shared" si="12"/>
        <v>3.3691089754901916E-7</v>
      </c>
      <c r="R109" s="144">
        <f t="shared" si="13"/>
        <v>0</v>
      </c>
      <c r="S109" s="144">
        <f t="shared" si="14"/>
        <v>117.12808781032984</v>
      </c>
      <c r="T109" s="144">
        <f t="shared" si="15"/>
        <v>0</v>
      </c>
      <c r="U109" s="144">
        <f t="shared" si="16"/>
        <v>3.5996332518537946</v>
      </c>
      <c r="V109" s="144">
        <f t="shared" si="17"/>
        <v>8.7963028730520507E-6</v>
      </c>
      <c r="W109" s="144">
        <f t="shared" si="18"/>
        <v>7.596777735941807E-9</v>
      </c>
      <c r="X109" s="144">
        <f t="shared" si="19"/>
        <v>9.157558945756191E-6</v>
      </c>
      <c r="Y109" s="144">
        <f t="shared" si="20"/>
        <v>3.8411535524362459</v>
      </c>
      <c r="Z109" s="144">
        <f t="shared" si="21"/>
        <v>6.7886538461538466E-7</v>
      </c>
      <c r="AA109" s="144">
        <f t="shared" si="22"/>
        <v>-2.443666411994054E-6</v>
      </c>
      <c r="AB109" s="144">
        <f t="shared" si="23"/>
        <v>-3.5365929496819882E-7</v>
      </c>
      <c r="AC109" s="144">
        <f t="shared" si="24"/>
        <v>-2.7345613745238716E-8</v>
      </c>
      <c r="AD109" s="144" t="e">
        <f t="shared" ca="1" si="25"/>
        <v>#NAME?</v>
      </c>
      <c r="AE109" s="144" t="e">
        <f t="shared" ca="1" si="26"/>
        <v>#NAME?</v>
      </c>
      <c r="AF109" s="144">
        <f t="shared" si="27"/>
        <v>8.9222882612197691E-5</v>
      </c>
      <c r="AG109" s="144" t="e">
        <f t="shared" ca="1" si="28"/>
        <v>#NAME?</v>
      </c>
      <c r="AH109" s="144">
        <f t="shared" si="29"/>
        <v>65</v>
      </c>
    </row>
    <row r="110" spans="2:34">
      <c r="B110" s="97">
        <v>19</v>
      </c>
      <c r="C110" s="35">
        <f t="shared" si="30"/>
        <v>166.59435764755065</v>
      </c>
      <c r="D110" s="35">
        <f t="shared" si="31"/>
        <v>117.80000000000003</v>
      </c>
      <c r="E110" s="35" t="e">
        <f t="shared" ca="1" si="0"/>
        <v>#NAME?</v>
      </c>
      <c r="F110" s="74" t="e">
        <f t="shared" ca="1" si="1"/>
        <v>#NAME?</v>
      </c>
      <c r="G110" s="74" t="e">
        <f t="shared" ca="1" si="2"/>
        <v>#NAME?</v>
      </c>
      <c r="H110" s="36" t="e">
        <f t="shared" ca="1" si="3"/>
        <v>#NAME?</v>
      </c>
      <c r="I110" s="33" t="e">
        <f t="shared" ca="1" si="4"/>
        <v>#NAME?</v>
      </c>
      <c r="J110" s="35" t="e">
        <f t="shared" ca="1" si="5"/>
        <v>#NAME?</v>
      </c>
      <c r="K110" s="35" t="e">
        <f t="shared" ca="1" si="6"/>
        <v>#NAME?</v>
      </c>
      <c r="L110" s="35" t="e">
        <f t="shared" ca="1" si="7"/>
        <v>#NAME?</v>
      </c>
      <c r="M110" s="143" t="b">
        <f t="shared" si="8"/>
        <v>0</v>
      </c>
      <c r="N110" s="144">
        <f t="shared" si="9"/>
        <v>1.2977703632409579E-10</v>
      </c>
      <c r="O110" s="144">
        <f t="shared" si="10"/>
        <v>1.6713619317419437E-8</v>
      </c>
      <c r="P110" s="144">
        <f t="shared" si="11"/>
        <v>1487160.0048903124</v>
      </c>
      <c r="Q110" s="144">
        <f t="shared" si="12"/>
        <v>3.3621130097354803E-7</v>
      </c>
      <c r="R110" s="144">
        <f t="shared" si="13"/>
        <v>0</v>
      </c>
      <c r="S110" s="144">
        <f t="shared" si="14"/>
        <v>120.23935764755066</v>
      </c>
      <c r="T110" s="144">
        <f t="shared" si="15"/>
        <v>0</v>
      </c>
      <c r="U110" s="144">
        <f t="shared" si="16"/>
        <v>3.5847825181444288</v>
      </c>
      <c r="V110" s="144">
        <f t="shared" si="17"/>
        <v>8.7238721146193749E-6</v>
      </c>
      <c r="W110" s="144">
        <f t="shared" si="18"/>
        <v>7.7092365806682406E-9</v>
      </c>
      <c r="X110" s="144">
        <f t="shared" si="19"/>
        <v>9.084506271491011E-6</v>
      </c>
      <c r="Y110" s="144">
        <f t="shared" si="20"/>
        <v>3.8262973495194506</v>
      </c>
      <c r="Z110" s="144">
        <f t="shared" si="21"/>
        <v>6.7886538461538466E-7</v>
      </c>
      <c r="AA110" s="144">
        <f t="shared" si="22"/>
        <v>-2.4335847629426247E-6</v>
      </c>
      <c r="AB110" s="144">
        <f t="shared" si="23"/>
        <v>-3.5292492029096748E-7</v>
      </c>
      <c r="AC110" s="144">
        <f t="shared" si="24"/>
        <v>-2.7635936522619043E-8</v>
      </c>
      <c r="AD110" s="144" t="e">
        <f t="shared" ca="1" si="25"/>
        <v>#NAME?</v>
      </c>
      <c r="AE110" s="144" t="e">
        <f t="shared" ca="1" si="26"/>
        <v>#NAME?</v>
      </c>
      <c r="AF110" s="144">
        <f t="shared" si="27"/>
        <v>9.0920895949108039E-5</v>
      </c>
      <c r="AG110" s="144" t="e">
        <f t="shared" ca="1" si="28"/>
        <v>#NAME?</v>
      </c>
      <c r="AH110" s="144">
        <f t="shared" si="29"/>
        <v>65</v>
      </c>
    </row>
    <row r="111" spans="2:34">
      <c r="B111" s="97">
        <v>20</v>
      </c>
      <c r="C111" s="35">
        <f>$E$14</f>
        <v>169.70562748477141</v>
      </c>
      <c r="D111" s="35">
        <f>C111/SQRT(2)</f>
        <v>120</v>
      </c>
      <c r="E111" s="35" t="e">
        <f t="shared" ca="1" si="0"/>
        <v>#NAME?</v>
      </c>
      <c r="F111" s="74" t="e">
        <f t="shared" ca="1" si="1"/>
        <v>#NAME?</v>
      </c>
      <c r="G111" s="74" t="e">
        <f t="shared" ca="1" si="2"/>
        <v>#NAME?</v>
      </c>
      <c r="H111" s="36" t="e">
        <f t="shared" ca="1" si="3"/>
        <v>#NAME?</v>
      </c>
      <c r="I111" s="33" t="e">
        <f t="shared" ca="1" si="4"/>
        <v>#NAME?</v>
      </c>
      <c r="J111" s="35" t="e">
        <f t="shared" ca="1" si="5"/>
        <v>#NAME?</v>
      </c>
      <c r="K111" s="35" t="e">
        <f t="shared" ca="1" si="6"/>
        <v>#NAME?</v>
      </c>
      <c r="L111" s="35" t="e">
        <f t="shared" ca="1" si="7"/>
        <v>#NAME?</v>
      </c>
      <c r="M111" s="143" t="b">
        <f t="shared" si="8"/>
        <v>0</v>
      </c>
      <c r="N111" s="144">
        <f t="shared" si="9"/>
        <v>1.2925235023622372E-10</v>
      </c>
      <c r="O111" s="144">
        <f t="shared" si="10"/>
        <v>1.6679798676347133E-8</v>
      </c>
      <c r="P111" s="144">
        <f t="shared" si="11"/>
        <v>1490175.431258366</v>
      </c>
      <c r="Q111" s="144">
        <f t="shared" si="12"/>
        <v>3.3553096468499633E-7</v>
      </c>
      <c r="R111" s="144">
        <f t="shared" si="13"/>
        <v>0</v>
      </c>
      <c r="S111" s="144">
        <f t="shared" si="14"/>
        <v>123.35062748477142</v>
      </c>
      <c r="T111" s="144">
        <f t="shared" si="15"/>
        <v>0</v>
      </c>
      <c r="U111" s="144">
        <f t="shared" si="16"/>
        <v>3.5704763113377407</v>
      </c>
      <c r="V111" s="144">
        <f t="shared" si="17"/>
        <v>8.6543803225360686E-6</v>
      </c>
      <c r="W111" s="144">
        <f t="shared" si="18"/>
        <v>7.8214617493028126E-9</v>
      </c>
      <c r="X111" s="144">
        <f t="shared" si="19"/>
        <v>9.0144125476467151E-6</v>
      </c>
      <c r="Y111" s="144">
        <f t="shared" si="20"/>
        <v>3.8119875593681773</v>
      </c>
      <c r="Z111" s="144">
        <f t="shared" si="21"/>
        <v>6.7886538461538466E-7</v>
      </c>
      <c r="AA111" s="144">
        <f t="shared" si="22"/>
        <v>-2.4238727743564149E-6</v>
      </c>
      <c r="AB111" s="144">
        <f t="shared" si="23"/>
        <v>-3.5221076336134348E-7</v>
      </c>
      <c r="AC111" s="144">
        <f t="shared" si="24"/>
        <v>-2.7926343895919938E-8</v>
      </c>
      <c r="AD111" s="144" t="e">
        <f t="shared" ca="1" si="25"/>
        <v>#NAME?</v>
      </c>
      <c r="AE111" s="144" t="e">
        <f t="shared" ca="1" si="26"/>
        <v>#NAME?</v>
      </c>
      <c r="AF111" s="144">
        <f t="shared" si="27"/>
        <v>9.2618909286018347E-5</v>
      </c>
      <c r="AG111" s="144" t="e">
        <f t="shared" ca="1" si="28"/>
        <v>#NAME?</v>
      </c>
      <c r="AH111" s="144">
        <f t="shared" si="29"/>
        <v>65</v>
      </c>
    </row>
    <row r="112" spans="2:34">
      <c r="C112" s="35"/>
      <c r="D112" s="35"/>
      <c r="E112" s="35"/>
      <c r="F112" s="74"/>
      <c r="G112" s="74"/>
      <c r="H112" s="36"/>
      <c r="I112" s="33"/>
      <c r="J112" s="35"/>
      <c r="K112" s="35"/>
      <c r="L112" s="35"/>
      <c r="M112" s="143"/>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row>
    <row r="113" spans="2:34">
      <c r="B113" s="37" t="s">
        <v>80</v>
      </c>
      <c r="C113" s="35">
        <f>C91</f>
        <v>107.48023074035522</v>
      </c>
      <c r="D113" s="35">
        <f>C113/SQRT(2)</f>
        <v>76</v>
      </c>
      <c r="E113" s="35" t="e">
        <f ca="1">Ifind(Z113,AA113,AB113,AC113,U113,Y113)</f>
        <v>#NAME?</v>
      </c>
      <c r="F113" s="74" t="e">
        <f ca="1">(1/2)*$B$44*(E113^2)/$B$11</f>
        <v>#NAME?</v>
      </c>
      <c r="G113" s="74" t="e">
        <f ca="1">E113*$B$44/C113</f>
        <v>#NAME?</v>
      </c>
      <c r="H113" s="36" t="e">
        <f ca="1">1/F113</f>
        <v>#NAME?</v>
      </c>
      <c r="I113" s="33" t="e">
        <f ca="1">IF(AG113+$B$65&gt;$B$66, TRUE,FALSE)</f>
        <v>#NAME?</v>
      </c>
      <c r="J113" s="35" t="e">
        <f ca="1">(AG113+$B$65)*$B$64</f>
        <v>#NAME?</v>
      </c>
      <c r="K113" s="35" t="e">
        <f ca="1">E113*SQRT(G113/(3*F113))</f>
        <v>#NAME?</v>
      </c>
      <c r="L113" s="35" t="e">
        <f ca="1">E113*$B$47*SQRT(AD113/(3*F113))</f>
        <v>#NAME?</v>
      </c>
      <c r="M113" s="143" t="b">
        <f>IF($B$48&gt;C113,TRUE,FALSE)</f>
        <v>0</v>
      </c>
      <c r="N113" s="144">
        <f>IF(M113=TRUE, (2*$B$32/(SQRT(C113+$B$48)))+$B$33,(2*$B$32/(SQRT(C113+$B$48)+SQRT(C113-$B$48)))+$B$33)</f>
        <v>1.4423394108932216E-10</v>
      </c>
      <c r="O113" s="144">
        <f>SQRT($B$43*N113)</f>
        <v>1.7619976112207587E-8</v>
      </c>
      <c r="P113" s="144">
        <f>1/(2*PI()*SQRT($B$44*N113))</f>
        <v>1410661.7413974551</v>
      </c>
      <c r="Q113" s="144">
        <f>IF(M113=TRUE,(1/(2*PI()*P113))*ACOS(-C113/$B$48),1/(2*P113))</f>
        <v>3.5444358156667733E-7</v>
      </c>
      <c r="R113" s="144">
        <f>IF(M113=TRUE,-($B$48*SQRT((N113/$B$42)*(1-((C113/$B$48)^2)))),0)</f>
        <v>0</v>
      </c>
      <c r="S113" s="144">
        <f>IF(M113=TRUE,0,(C113-$B$48))</f>
        <v>61.125230740355228</v>
      </c>
      <c r="T113" s="144">
        <f>IF(M113=TRUE,($B$42/C113)*(-R113),0)</f>
        <v>0</v>
      </c>
      <c r="U113" s="144">
        <f>2*$B$11*(1/C113+1/$B$48)</f>
        <v>4.0139687223450924</v>
      </c>
      <c r="V113" s="144">
        <f>U113*$B$44*(1/C113+1/$B$48)</f>
        <v>1.093784167413188E-5</v>
      </c>
      <c r="W113" s="144">
        <f>(C113+$B$48)*N113/U113</f>
        <v>5.5277614607578627E-9</v>
      </c>
      <c r="X113" s="144">
        <f>Q113+T113+O113+W113+V113</f>
        <v>1.1315432993271523E-5</v>
      </c>
      <c r="Y113" s="144">
        <f>(1/(1+C113/$B$48))*X113*C113/$B$42</f>
        <v>4.2563505995663649</v>
      </c>
      <c r="Z113" s="144">
        <f>$B$44/(2*$B$11)</f>
        <v>6.7886538461538466E-7</v>
      </c>
      <c r="AA113" s="144">
        <f>-(1/C113+1/$B$48)*$B$44</f>
        <v>-2.7249444205289256E-6</v>
      </c>
      <c r="AB113" s="144">
        <f>-(Q113+T113+O113)</f>
        <v>-3.7206355767888494E-7</v>
      </c>
      <c r="AC113" s="144">
        <f>-(C113+$B$48)*N113</f>
        <v>-2.2188261608066679E-8</v>
      </c>
      <c r="AD113" s="144" t="e">
        <f ca="1">E113*$B$44/$B$48</f>
        <v>#NAME?</v>
      </c>
      <c r="AE113" s="144" t="e">
        <f ca="1">G113/F113</f>
        <v>#NAME?</v>
      </c>
      <c r="AF113" s="144">
        <f>$B$75*($B$73*(1/$B$56+1/$B$57)+C113/($B$50*$B$56))</f>
        <v>5.8658642547811616E-5</v>
      </c>
      <c r="AG113" s="144" t="e">
        <f ca="1">E113*$B$54+AF113*$B$55</f>
        <v>#NAME?</v>
      </c>
      <c r="AH113" s="144"/>
    </row>
    <row r="114" spans="2:34">
      <c r="B114" s="37" t="s">
        <v>85</v>
      </c>
      <c r="C114" s="35">
        <f>C111</f>
        <v>169.70562748477141</v>
      </c>
      <c r="D114" s="35">
        <f>C114/SQRT(2)</f>
        <v>120</v>
      </c>
      <c r="E114" s="35" t="e">
        <f ca="1">Ifind(Z114,AA114,AB114,AC114,U114,Y114)</f>
        <v>#NAME?</v>
      </c>
      <c r="F114" s="74" t="e">
        <f ca="1">(1/2)*$B$44*(E114^2)/$B$11</f>
        <v>#NAME?</v>
      </c>
      <c r="G114" s="74" t="e">
        <f ca="1">E114*$B$44/C114</f>
        <v>#NAME?</v>
      </c>
      <c r="H114" s="36" t="e">
        <f ca="1">1/F114</f>
        <v>#NAME?</v>
      </c>
      <c r="I114" s="33" t="e">
        <f ca="1">IF(AG114+$B$65&gt;$B$66, TRUE,FALSE)</f>
        <v>#NAME?</v>
      </c>
      <c r="J114" s="35" t="e">
        <f ca="1">(AG114+$B$65)*$B$64</f>
        <v>#NAME?</v>
      </c>
      <c r="K114" s="35" t="e">
        <f ca="1">E114*SQRT(G114/(3*F114))</f>
        <v>#NAME?</v>
      </c>
      <c r="L114" s="35" t="e">
        <f ca="1">E114*$B$47*SQRT(AD114/(3*F114))</f>
        <v>#NAME?</v>
      </c>
      <c r="M114" s="143" t="b">
        <f>IF($B$48&gt;C114,TRUE,FALSE)</f>
        <v>0</v>
      </c>
      <c r="N114" s="144">
        <f>IF(M114=TRUE, (2*$B$32/(SQRT(C114+$B$48)))+$B$33,(2*$B$32/(SQRT(C114+$B$48)+SQRT(C114-$B$48)))+$B$33)</f>
        <v>1.2925235023622372E-10</v>
      </c>
      <c r="O114" s="144">
        <f>SQRT($B$43*N114)</f>
        <v>1.6679798676347133E-8</v>
      </c>
      <c r="P114" s="144">
        <f>1/(2*PI()*SQRT($B$44*N114))</f>
        <v>1490175.431258366</v>
      </c>
      <c r="Q114" s="144">
        <f>IF(M114=TRUE,(1/(2*PI()*P114))*ACOS(-C114/$B$48),1/(2*P114))</f>
        <v>3.3553096468499633E-7</v>
      </c>
      <c r="R114" s="144">
        <f>IF(M114=TRUE,-($B$48*SQRT((N114/$B$42)*(1-((C114/$B$48)^2)))),0)</f>
        <v>0</v>
      </c>
      <c r="S114" s="144">
        <f>IF(M114=TRUE,0,(C114-$B$48))</f>
        <v>123.35062748477142</v>
      </c>
      <c r="T114" s="144">
        <f>IF(M114=TRUE,($B$42/C114)*(-R114),0)</f>
        <v>0</v>
      </c>
      <c r="U114" s="144">
        <f>2*$B$11*(1/C114+1/$B$48)</f>
        <v>3.5704763113377407</v>
      </c>
      <c r="V114" s="144">
        <f>U114*$B$44*(1/C114+1/$B$48)</f>
        <v>8.6543803225360686E-6</v>
      </c>
      <c r="W114" s="144">
        <f>(C114+$B$48)*N114/U114</f>
        <v>7.8214617493028126E-9</v>
      </c>
      <c r="X114" s="144">
        <f>Q114+T114+O114+W114+V114</f>
        <v>9.0144125476467151E-6</v>
      </c>
      <c r="Y114" s="144">
        <f>(1/(1+C114/$B$48))*X114*C114/$B$42</f>
        <v>3.8119875593681773</v>
      </c>
      <c r="Z114" s="144">
        <f>$B$44/(2*$B$11)</f>
        <v>6.7886538461538466E-7</v>
      </c>
      <c r="AA114" s="144">
        <f>-(1/C114+1/$B$48)*$B$44</f>
        <v>-2.4238727743564149E-6</v>
      </c>
      <c r="AB114" s="144">
        <f>-(Q114+T114+O114)</f>
        <v>-3.5221076336134348E-7</v>
      </c>
      <c r="AC114" s="144">
        <f>-(C114+$B$48)*N114</f>
        <v>-2.7926343895919938E-8</v>
      </c>
      <c r="AD114" s="144" t="e">
        <f ca="1">E114*$B$44/$B$48</f>
        <v>#NAME?</v>
      </c>
      <c r="AE114" s="144" t="e">
        <f ca="1">G114/F114</f>
        <v>#NAME?</v>
      </c>
      <c r="AF114" s="144">
        <f>$B$75*($B$73*(1/$B$56+1/$B$57)+C114/($B$50*$B$56))</f>
        <v>9.2618909286018347E-5</v>
      </c>
      <c r="AG114" s="144" t="e">
        <f ca="1">E114*$B$54+AF114*$B$55</f>
        <v>#NAME?</v>
      </c>
      <c r="AH114" s="144"/>
    </row>
    <row r="115" spans="2:34">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row>
    <row r="116" spans="2:34">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row>
    <row r="117" spans="2:34">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row>
    <row r="118" spans="2:34" ht="18.75">
      <c r="B118" s="169" t="s">
        <v>412</v>
      </c>
      <c r="C118" s="169"/>
      <c r="D118" s="169"/>
      <c r="E118" s="169"/>
      <c r="F118" s="169"/>
      <c r="G118" s="169"/>
      <c r="H118" s="169"/>
      <c r="I118" s="169"/>
      <c r="J118" s="169"/>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row>
    <row r="119" spans="2:34" ht="15.75">
      <c r="B119" s="58" t="s">
        <v>178</v>
      </c>
      <c r="C119" s="35">
        <f>C113</f>
        <v>107.48023074035522</v>
      </c>
      <c r="D119" s="37" t="s">
        <v>111</v>
      </c>
      <c r="E119" s="58" t="s">
        <v>48</v>
      </c>
      <c r="F119" s="33">
        <f>C119/SQRT(2)</f>
        <v>76</v>
      </c>
      <c r="G119" s="58" t="s">
        <v>111</v>
      </c>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row>
    <row r="120" spans="2:34" hidden="1">
      <c r="B120" s="58" t="s">
        <v>53</v>
      </c>
      <c r="C120" s="120" t="e">
        <f ca="1">E113</f>
        <v>#NAME?</v>
      </c>
      <c r="D120" s="37" t="s">
        <v>122</v>
      </c>
      <c r="E120" s="58"/>
      <c r="F120" s="33"/>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row>
    <row r="121" spans="2:34" ht="15.75" hidden="1">
      <c r="B121" s="58" t="s">
        <v>176</v>
      </c>
      <c r="C121" s="47" t="e">
        <f ca="1">G113</f>
        <v>#NAME?</v>
      </c>
      <c r="D121" s="37" t="s">
        <v>114</v>
      </c>
      <c r="E121" s="58"/>
      <c r="F121" s="33"/>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row>
    <row r="122" spans="2:34" hidden="1">
      <c r="B122" s="58" t="s">
        <v>49</v>
      </c>
      <c r="C122" s="120" t="b">
        <f>IF($B$48&gt;C119,TRUE,FALSE)</f>
        <v>0</v>
      </c>
      <c r="E122" s="58"/>
      <c r="F122" s="33"/>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row>
    <row r="123" spans="2:34" ht="15.75" hidden="1">
      <c r="B123" s="58" t="s">
        <v>175</v>
      </c>
      <c r="C123" s="120">
        <f>IF(C122=TRUE, (2*$B$32/(SQRT(C119+$B$48)))+$B$33,(2*$B$32/(SQRT(C119+$B$48)+SQRT(C119-$B$48)))+$B$33)</f>
        <v>1.4423394108932216E-10</v>
      </c>
      <c r="D123" s="37" t="s">
        <v>116</v>
      </c>
      <c r="E123" s="58"/>
      <c r="F123" s="33"/>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row>
    <row r="124" spans="2:34" ht="25.5" hidden="1" customHeight="1">
      <c r="B124" s="80" t="s">
        <v>184</v>
      </c>
      <c r="C124" s="120">
        <f>SQRT($B$43*C123)</f>
        <v>1.7619976112207587E-8</v>
      </c>
      <c r="D124" s="37" t="s">
        <v>114</v>
      </c>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row>
    <row r="125" spans="2:34" ht="25.5" hidden="1" customHeight="1">
      <c r="B125" s="80" t="s">
        <v>183</v>
      </c>
      <c r="C125" s="47">
        <f>1/(2*PI()*SQRT($B$44*C123))</f>
        <v>1410661.7413974551</v>
      </c>
      <c r="D125" s="37" t="s">
        <v>112</v>
      </c>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row>
    <row r="126" spans="2:34" ht="25.5" hidden="1" customHeight="1">
      <c r="B126" s="80" t="s">
        <v>182</v>
      </c>
      <c r="C126" s="120">
        <f>IF(C122=TRUE,(1/(2*PI()*C125))*ACOS(-C119/$B$48),1/(2*C125))</f>
        <v>3.5444358156667733E-7</v>
      </c>
      <c r="D126" s="37" t="s">
        <v>114</v>
      </c>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row>
    <row r="127" spans="2:34" ht="25.5" hidden="1" customHeight="1">
      <c r="B127" s="80" t="s">
        <v>181</v>
      </c>
      <c r="C127" s="120">
        <f>IF(C122=TRUE,-($B$48*SQRT((C123/$B$42)*(1-((C119/$B$48)^2)))),0)</f>
        <v>0</v>
      </c>
      <c r="D127" s="37" t="s">
        <v>122</v>
      </c>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row>
    <row r="128" spans="2:34" ht="25.5" hidden="1" customHeight="1">
      <c r="B128" s="80" t="s">
        <v>172</v>
      </c>
      <c r="C128" s="120">
        <f>IF(C122=TRUE,0,(C119-$B$48))</f>
        <v>61.125230740355228</v>
      </c>
      <c r="D128" s="37" t="s">
        <v>111</v>
      </c>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row>
    <row r="129" spans="2:34" ht="12.75" hidden="1" customHeight="1">
      <c r="B129" s="80" t="s">
        <v>180</v>
      </c>
      <c r="C129" s="120">
        <f>IF(C122=TRUE,($B$42/C119)*(-C127),0)</f>
        <v>0</v>
      </c>
      <c r="D129" s="37" t="s">
        <v>114</v>
      </c>
      <c r="M129" s="138"/>
      <c r="N129" s="138"/>
      <c r="O129" s="138"/>
      <c r="P129" s="138"/>
      <c r="Q129" s="138"/>
      <c r="R129" s="138"/>
      <c r="S129" s="138"/>
      <c r="T129" s="138"/>
      <c r="U129" s="138"/>
      <c r="V129" s="138"/>
      <c r="W129" s="138"/>
      <c r="X129" s="138"/>
      <c r="Y129" s="138"/>
      <c r="Z129" s="138"/>
      <c r="AA129" s="138"/>
      <c r="AB129" s="138"/>
      <c r="AC129" s="138"/>
      <c r="AD129" s="138"/>
      <c r="AE129" s="138"/>
      <c r="AF129" s="138"/>
      <c r="AG129" s="138"/>
      <c r="AH129" s="138"/>
    </row>
    <row r="130" spans="2:34" ht="25.5" hidden="1" customHeight="1">
      <c r="B130" s="80" t="s">
        <v>171</v>
      </c>
      <c r="C130" s="47">
        <f>AF113*$B$55</f>
        <v>9.3853828076498585E-2</v>
      </c>
      <c r="D130" s="121" t="s">
        <v>111</v>
      </c>
      <c r="E130" s="122"/>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row>
    <row r="131" spans="2:34" ht="25.5" hidden="1" customHeight="1">
      <c r="B131" s="80" t="s">
        <v>170</v>
      </c>
      <c r="C131" s="47">
        <f>($B$76-C130)/$B$54</f>
        <v>2.8346867770694582</v>
      </c>
      <c r="D131" s="121" t="s">
        <v>122</v>
      </c>
      <c r="E131" s="122"/>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row>
    <row r="132" spans="2:34" ht="12.75" hidden="1" customHeight="1">
      <c r="B132" s="80" t="s">
        <v>90</v>
      </c>
      <c r="C132" s="123">
        <f>(1/2)*B44*(C131^2)*B71</f>
        <v>14.182969476479348</v>
      </c>
      <c r="D132" s="121" t="s">
        <v>107</v>
      </c>
      <c r="E132" s="122"/>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row>
    <row r="133" spans="2:34" ht="12.75" hidden="1" customHeight="1">
      <c r="B133" s="80"/>
      <c r="C133" s="33"/>
      <c r="D133" s="122"/>
      <c r="E133" s="122"/>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row>
    <row r="134" spans="2:34" ht="12.75" customHeight="1">
      <c r="B134" s="80"/>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row>
    <row r="135" spans="2:34" ht="14.25">
      <c r="B135" s="153" t="s">
        <v>163</v>
      </c>
      <c r="C135" s="96" t="s">
        <v>52</v>
      </c>
      <c r="D135" s="96" t="s">
        <v>164</v>
      </c>
      <c r="E135" s="153" t="s">
        <v>56</v>
      </c>
      <c r="F135" s="96" t="s">
        <v>165</v>
      </c>
      <c r="G135" s="96" t="s">
        <v>166</v>
      </c>
      <c r="H135" s="96" t="s">
        <v>167</v>
      </c>
      <c r="I135" s="96" t="s">
        <v>168</v>
      </c>
      <c r="J135" s="96" t="s">
        <v>169</v>
      </c>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row>
    <row r="136" spans="2:34" s="97" customFormat="1">
      <c r="B136" s="153"/>
      <c r="C136" s="96" t="s">
        <v>107</v>
      </c>
      <c r="D136" s="96" t="s">
        <v>107</v>
      </c>
      <c r="E136" s="153"/>
      <c r="F136" s="96" t="s">
        <v>122</v>
      </c>
      <c r="G136" s="96" t="s">
        <v>112</v>
      </c>
      <c r="H136" s="96" t="s">
        <v>114</v>
      </c>
      <c r="I136" s="96" t="s">
        <v>111</v>
      </c>
      <c r="J136" s="96" t="s">
        <v>111</v>
      </c>
      <c r="K136" s="124" t="s">
        <v>35</v>
      </c>
      <c r="L136" s="124" t="s">
        <v>36</v>
      </c>
      <c r="M136" s="147" t="s">
        <v>38</v>
      </c>
      <c r="N136" s="147" t="s">
        <v>39</v>
      </c>
      <c r="O136" s="147" t="s">
        <v>40</v>
      </c>
      <c r="P136" s="147" t="s">
        <v>14</v>
      </c>
      <c r="Q136" s="147" t="s">
        <v>15</v>
      </c>
      <c r="R136" s="147" t="s">
        <v>41</v>
      </c>
      <c r="S136" s="147" t="s">
        <v>42</v>
      </c>
      <c r="T136" s="147" t="s">
        <v>54</v>
      </c>
      <c r="U136" s="147" t="s">
        <v>55</v>
      </c>
      <c r="V136" s="147" t="s">
        <v>58</v>
      </c>
      <c r="W136" s="147" t="s">
        <v>57</v>
      </c>
      <c r="X136" s="147" t="s">
        <v>81</v>
      </c>
      <c r="Y136" s="147" t="s">
        <v>60</v>
      </c>
      <c r="Z136" s="147" t="s">
        <v>84</v>
      </c>
      <c r="AA136" s="147" t="s">
        <v>59</v>
      </c>
      <c r="AB136" s="147" t="s">
        <v>46</v>
      </c>
      <c r="AC136" s="148"/>
      <c r="AD136" s="148"/>
      <c r="AE136" s="148"/>
      <c r="AF136" s="148"/>
      <c r="AG136" s="148"/>
      <c r="AH136" s="148"/>
    </row>
    <row r="137" spans="2:34">
      <c r="B137" s="97">
        <v>1</v>
      </c>
      <c r="C137" s="33">
        <f t="shared" ref="C137:C157" si="32">$B$8*B137</f>
        <v>52</v>
      </c>
      <c r="D137" s="35">
        <f t="shared" ref="D137:D157" si="33">C137/$B$10</f>
        <v>65</v>
      </c>
      <c r="E137" s="125" t="e">
        <f t="shared" ref="E137:E157" ca="1" si="34">ModeCheck(X137,W137,Y137,$B$76,$B$70)</f>
        <v>#NAME?</v>
      </c>
      <c r="F137" s="126" t="e">
        <f t="shared" ref="F137:F157" ca="1" si="35">IF(E137="QR",T137,IF(E137="DCM",SQRT(2*D137/($B$44*$B$70)),$C$131))</f>
        <v>#NAME?</v>
      </c>
      <c r="G137" s="36" t="e">
        <f t="shared" ref="G137:G157" ca="1" si="36">1/AA137</f>
        <v>#NAME?</v>
      </c>
      <c r="H137" s="74" t="e">
        <f t="shared" ref="H137:H157" ca="1" si="37">F137*$B$44/$C$119</f>
        <v>#NAME?</v>
      </c>
      <c r="I137" s="35" t="e">
        <f t="shared" ref="I137:I157" ca="1" si="38">F137*$B$54+$C$130</f>
        <v>#NAME?</v>
      </c>
      <c r="J137" s="35" t="e">
        <f t="shared" ref="J137:J157" ca="1" si="39">IF(E137="FFB",(((1/G137)-$B$79)/$B$78),((I137+$B$65)*$B$64))</f>
        <v>#NAME?</v>
      </c>
      <c r="K137" s="127">
        <f t="shared" ref="K137:K157" si="40">2*D137*(1/$C$119+1/$B$48)</f>
        <v>4.0139687223450924</v>
      </c>
      <c r="L137" s="127">
        <f t="shared" ref="L137:L157" si="41">K137*$B$44*(1/$C$119+1/$B$48)</f>
        <v>1.093784167413188E-5</v>
      </c>
      <c r="M137" s="149">
        <f t="shared" ref="M137:M157" si="42">($C$119+$B$48)*$C$123/K137</f>
        <v>5.5277614607578627E-9</v>
      </c>
      <c r="N137" s="149">
        <f>$C$126+$C$129+$C$124+M137+L137</f>
        <v>1.1315432993271523E-5</v>
      </c>
      <c r="O137" s="149">
        <f t="shared" ref="O137:O157" si="43">(1/(1+$C$119/$B$48))*N137*$C$119/$B$42</f>
        <v>4.2563505995663649</v>
      </c>
      <c r="P137" s="149">
        <f t="shared" ref="P137:P157" si="44">$B$44/(2*D137)</f>
        <v>6.7886538461538466E-7</v>
      </c>
      <c r="Q137" s="149">
        <f t="shared" ref="Q137:Q157" si="45">-(1/$C$119+1/$B$48)*$B$44</f>
        <v>-2.7249444205289256E-6</v>
      </c>
      <c r="R137" s="149">
        <f t="shared" ref="R137:R157" si="46">-($C$126+$C$129+$C$124)</f>
        <v>-3.7206355767888494E-7</v>
      </c>
      <c r="S137" s="149">
        <f t="shared" ref="S137:S157" si="47">-($C$119+$B$48)*$C$123</f>
        <v>-2.2188261608066679E-8</v>
      </c>
      <c r="T137" s="149" t="e">
        <f ca="1">Ifind(P137,Q137,R137,S137,K137,O137)</f>
        <v>#NAME?</v>
      </c>
      <c r="U137" s="149" t="e">
        <f t="shared" ref="U137:U157" ca="1" si="48">(1/2)*$B$44*(T137^2)/D137</f>
        <v>#NAME?</v>
      </c>
      <c r="V137" s="149" t="e">
        <f t="shared" ref="V137:V157" ca="1" si="49">T137*$B$44/$C$119</f>
        <v>#NAME?</v>
      </c>
      <c r="W137" s="149" t="e">
        <f ca="1">1/U137</f>
        <v>#NAME?</v>
      </c>
      <c r="X137" s="149" t="e">
        <f t="shared" ref="X137:X157" ca="1" si="50">T137*$B$54+$C$130</f>
        <v>#NAME?</v>
      </c>
      <c r="Y137" s="149">
        <f t="shared" ref="Y137:Y157" si="51">2*D137/(($C$131^2)*$B$44)</f>
        <v>183318.45135193793</v>
      </c>
      <c r="Z137" s="149" t="e">
        <f t="shared" ref="Z137:Z157" ca="1" si="52">F137/$C$120</f>
        <v>#NAME?</v>
      </c>
      <c r="AA137" s="149" t="e">
        <f t="shared" ref="AA137:AA157" ca="1" si="53">(1/2)*$B$44*(F137^2)/D137</f>
        <v>#NAME?</v>
      </c>
      <c r="AB137" s="149" t="e">
        <f t="shared" ref="AB137:AB157" ca="1" si="54">F137*$B$44/$B$48</f>
        <v>#NAME?</v>
      </c>
      <c r="AC137" s="144"/>
      <c r="AD137" s="138"/>
      <c r="AE137" s="138"/>
      <c r="AF137" s="138"/>
      <c r="AG137" s="138"/>
      <c r="AH137" s="138"/>
    </row>
    <row r="138" spans="2:34">
      <c r="B138" s="97">
        <v>0.95</v>
      </c>
      <c r="C138" s="33">
        <f t="shared" si="32"/>
        <v>49.4</v>
      </c>
      <c r="D138" s="35">
        <f t="shared" si="33"/>
        <v>61.749999999999993</v>
      </c>
      <c r="E138" s="125" t="e">
        <f t="shared" ca="1" si="34"/>
        <v>#NAME?</v>
      </c>
      <c r="F138" s="126" t="e">
        <f t="shared" ca="1" si="35"/>
        <v>#NAME?</v>
      </c>
      <c r="G138" s="36" t="e">
        <f t="shared" ca="1" si="36"/>
        <v>#NAME?</v>
      </c>
      <c r="H138" s="74" t="e">
        <f t="shared" ca="1" si="37"/>
        <v>#NAME?</v>
      </c>
      <c r="I138" s="35" t="e">
        <f t="shared" ca="1" si="38"/>
        <v>#NAME?</v>
      </c>
      <c r="J138" s="35" t="e">
        <f t="shared" ca="1" si="39"/>
        <v>#NAME?</v>
      </c>
      <c r="K138" s="127">
        <f t="shared" si="40"/>
        <v>3.8132702862278376</v>
      </c>
      <c r="L138" s="127">
        <f t="shared" si="41"/>
        <v>1.0390949590425285E-5</v>
      </c>
      <c r="M138" s="149">
        <f t="shared" si="42"/>
        <v>5.818696274481961E-9</v>
      </c>
      <c r="N138" s="149">
        <f t="shared" ref="N138:N157" si="55">$C$126+$C$129+$C$124+M138+L138</f>
        <v>1.0768831844378652E-5</v>
      </c>
      <c r="O138" s="149">
        <f t="shared" si="43"/>
        <v>4.0507441389742462</v>
      </c>
      <c r="P138" s="149">
        <f t="shared" si="44"/>
        <v>7.1459514170040494E-7</v>
      </c>
      <c r="Q138" s="149">
        <f t="shared" si="45"/>
        <v>-2.7249444205289256E-6</v>
      </c>
      <c r="R138" s="149">
        <f t="shared" si="46"/>
        <v>-3.7206355767888494E-7</v>
      </c>
      <c r="S138" s="149">
        <f t="shared" si="47"/>
        <v>-2.2188261608066679E-8</v>
      </c>
      <c r="T138" s="149" t="e">
        <f t="shared" ref="T138:T157" ca="1" si="56">Ifind(P138,Q138,R138,S138,K138,O138)</f>
        <v>#NAME?</v>
      </c>
      <c r="U138" s="149" t="e">
        <f t="shared" ca="1" si="48"/>
        <v>#NAME?</v>
      </c>
      <c r="V138" s="149" t="e">
        <f t="shared" ca="1" si="49"/>
        <v>#NAME?</v>
      </c>
      <c r="W138" s="149" t="e">
        <f ca="1">1/U138</f>
        <v>#NAME?</v>
      </c>
      <c r="X138" s="149" t="e">
        <f t="shared" ca="1" si="50"/>
        <v>#NAME?</v>
      </c>
      <c r="Y138" s="149">
        <f t="shared" si="51"/>
        <v>174152.528784341</v>
      </c>
      <c r="Z138" s="149" t="e">
        <f t="shared" ca="1" si="52"/>
        <v>#NAME?</v>
      </c>
      <c r="AA138" s="149" t="e">
        <f t="shared" ca="1" si="53"/>
        <v>#NAME?</v>
      </c>
      <c r="AB138" s="149" t="e">
        <f t="shared" ca="1" si="54"/>
        <v>#NAME?</v>
      </c>
      <c r="AC138" s="144"/>
      <c r="AD138" s="138"/>
      <c r="AE138" s="138"/>
      <c r="AF138" s="138"/>
      <c r="AG138" s="138"/>
      <c r="AH138" s="138"/>
    </row>
    <row r="139" spans="2:34">
      <c r="B139" s="97">
        <v>0.9</v>
      </c>
      <c r="C139" s="33">
        <f t="shared" si="32"/>
        <v>46.800000000000004</v>
      </c>
      <c r="D139" s="35">
        <f t="shared" si="33"/>
        <v>58.5</v>
      </c>
      <c r="E139" s="125" t="e">
        <f t="shared" ca="1" si="34"/>
        <v>#NAME?</v>
      </c>
      <c r="F139" s="126" t="e">
        <f t="shared" ca="1" si="35"/>
        <v>#NAME?</v>
      </c>
      <c r="G139" s="36" t="e">
        <f t="shared" ca="1" si="36"/>
        <v>#NAME?</v>
      </c>
      <c r="H139" s="74" t="e">
        <f t="shared" ca="1" si="37"/>
        <v>#NAME?</v>
      </c>
      <c r="I139" s="35" t="e">
        <f t="shared" ca="1" si="38"/>
        <v>#NAME?</v>
      </c>
      <c r="J139" s="35" t="e">
        <f t="shared" ca="1" si="39"/>
        <v>#NAME?</v>
      </c>
      <c r="K139" s="127">
        <f t="shared" si="40"/>
        <v>3.6125718501105837</v>
      </c>
      <c r="L139" s="127">
        <f t="shared" si="41"/>
        <v>9.8440575067186923E-6</v>
      </c>
      <c r="M139" s="149">
        <f t="shared" si="42"/>
        <v>6.1419571786198463E-9</v>
      </c>
      <c r="N139" s="149">
        <f t="shared" si="55"/>
        <v>1.0222263021576197E-5</v>
      </c>
      <c r="O139" s="149">
        <f t="shared" si="43"/>
        <v>3.8451498379852476</v>
      </c>
      <c r="P139" s="149">
        <f t="shared" si="44"/>
        <v>7.5429487179487187E-7</v>
      </c>
      <c r="Q139" s="149">
        <f t="shared" si="45"/>
        <v>-2.7249444205289256E-6</v>
      </c>
      <c r="R139" s="149">
        <f t="shared" si="46"/>
        <v>-3.7206355767888494E-7</v>
      </c>
      <c r="S139" s="149">
        <f t="shared" si="47"/>
        <v>-2.2188261608066679E-8</v>
      </c>
      <c r="T139" s="149" t="e">
        <f t="shared" ca="1" si="56"/>
        <v>#NAME?</v>
      </c>
      <c r="U139" s="149" t="e">
        <f t="shared" ca="1" si="48"/>
        <v>#NAME?</v>
      </c>
      <c r="V139" s="149" t="e">
        <f t="shared" ca="1" si="49"/>
        <v>#NAME?</v>
      </c>
      <c r="W139" s="149" t="e">
        <f ca="1">1/U139</f>
        <v>#NAME?</v>
      </c>
      <c r="X139" s="149" t="e">
        <f t="shared" ca="1" si="50"/>
        <v>#NAME?</v>
      </c>
      <c r="Y139" s="149">
        <f t="shared" si="51"/>
        <v>164986.60621674414</v>
      </c>
      <c r="Z139" s="149" t="e">
        <f t="shared" ca="1" si="52"/>
        <v>#NAME?</v>
      </c>
      <c r="AA139" s="149" t="e">
        <f t="shared" ca="1" si="53"/>
        <v>#NAME?</v>
      </c>
      <c r="AB139" s="149" t="e">
        <f t="shared" ca="1" si="54"/>
        <v>#NAME?</v>
      </c>
      <c r="AC139" s="144"/>
      <c r="AD139" s="138"/>
      <c r="AE139" s="138"/>
      <c r="AF139" s="138"/>
      <c r="AG139" s="138"/>
      <c r="AH139" s="138"/>
    </row>
    <row r="140" spans="2:34">
      <c r="B140" s="97">
        <v>0.85</v>
      </c>
      <c r="C140" s="33">
        <f t="shared" si="32"/>
        <v>44.199999999999996</v>
      </c>
      <c r="D140" s="35">
        <f t="shared" si="33"/>
        <v>55.249999999999993</v>
      </c>
      <c r="E140" s="125" t="e">
        <f t="shared" ca="1" si="34"/>
        <v>#NAME?</v>
      </c>
      <c r="F140" s="126" t="e">
        <f t="shared" ca="1" si="35"/>
        <v>#NAME?</v>
      </c>
      <c r="G140" s="36" t="e">
        <f t="shared" ca="1" si="36"/>
        <v>#NAME?</v>
      </c>
      <c r="H140" s="74" t="e">
        <f t="shared" ca="1" si="37"/>
        <v>#NAME?</v>
      </c>
      <c r="I140" s="35" t="e">
        <f t="shared" ca="1" si="38"/>
        <v>#NAME?</v>
      </c>
      <c r="J140" s="35" t="e">
        <f t="shared" ca="1" si="39"/>
        <v>#NAME?</v>
      </c>
      <c r="K140" s="127">
        <f t="shared" si="40"/>
        <v>3.4118734139933284</v>
      </c>
      <c r="L140" s="127">
        <f t="shared" si="41"/>
        <v>9.2971654230120966E-6</v>
      </c>
      <c r="M140" s="149">
        <f t="shared" si="42"/>
        <v>6.5032487773621911E-9</v>
      </c>
      <c r="N140" s="149">
        <f t="shared" si="55"/>
        <v>9.6757322294683443E-6</v>
      </c>
      <c r="O140" s="149">
        <f t="shared" si="43"/>
        <v>3.639569842411682</v>
      </c>
      <c r="P140" s="149">
        <f t="shared" si="44"/>
        <v>7.9866515837104088E-7</v>
      </c>
      <c r="Q140" s="149">
        <f t="shared" si="45"/>
        <v>-2.7249444205289256E-6</v>
      </c>
      <c r="R140" s="149">
        <f t="shared" si="46"/>
        <v>-3.7206355767888494E-7</v>
      </c>
      <c r="S140" s="149">
        <f t="shared" si="47"/>
        <v>-2.2188261608066679E-8</v>
      </c>
      <c r="T140" s="149" t="e">
        <f t="shared" ca="1" si="56"/>
        <v>#NAME?</v>
      </c>
      <c r="U140" s="149" t="e">
        <f t="shared" ca="1" si="48"/>
        <v>#NAME?</v>
      </c>
      <c r="V140" s="149" t="e">
        <f t="shared" ca="1" si="49"/>
        <v>#NAME?</v>
      </c>
      <c r="W140" s="149" t="e">
        <f ca="1">1/U140</f>
        <v>#NAME?</v>
      </c>
      <c r="X140" s="149" t="e">
        <f t="shared" ca="1" si="50"/>
        <v>#NAME?</v>
      </c>
      <c r="Y140" s="149">
        <f t="shared" si="51"/>
        <v>155820.68364914722</v>
      </c>
      <c r="Z140" s="149" t="e">
        <f t="shared" ca="1" si="52"/>
        <v>#NAME?</v>
      </c>
      <c r="AA140" s="149" t="e">
        <f t="shared" ca="1" si="53"/>
        <v>#NAME?</v>
      </c>
      <c r="AB140" s="149" t="e">
        <f t="shared" ca="1" si="54"/>
        <v>#NAME?</v>
      </c>
      <c r="AC140" s="144"/>
      <c r="AD140" s="138"/>
      <c r="AE140" s="138"/>
      <c r="AF140" s="138"/>
      <c r="AG140" s="138"/>
      <c r="AH140" s="138"/>
    </row>
    <row r="141" spans="2:34">
      <c r="B141" s="97">
        <v>0.8</v>
      </c>
      <c r="C141" s="33">
        <f t="shared" si="32"/>
        <v>41.6</v>
      </c>
      <c r="D141" s="35">
        <f t="shared" si="33"/>
        <v>52</v>
      </c>
      <c r="E141" s="125" t="e">
        <f t="shared" ca="1" si="34"/>
        <v>#NAME?</v>
      </c>
      <c r="F141" s="126" t="e">
        <f t="shared" ca="1" si="35"/>
        <v>#NAME?</v>
      </c>
      <c r="G141" s="36" t="e">
        <f t="shared" ca="1" si="36"/>
        <v>#NAME?</v>
      </c>
      <c r="H141" s="74" t="e">
        <f t="shared" ca="1" si="37"/>
        <v>#NAME?</v>
      </c>
      <c r="I141" s="35" t="e">
        <f t="shared" ca="1" si="38"/>
        <v>#NAME?</v>
      </c>
      <c r="J141" s="35" t="e">
        <f t="shared" ca="1" si="39"/>
        <v>#NAME?</v>
      </c>
      <c r="K141" s="127">
        <f t="shared" si="40"/>
        <v>3.2111749778760741</v>
      </c>
      <c r="L141" s="127">
        <f t="shared" si="41"/>
        <v>8.7502733393055043E-6</v>
      </c>
      <c r="M141" s="127">
        <f t="shared" si="42"/>
        <v>6.9097018259473278E-9</v>
      </c>
      <c r="N141" s="127">
        <f t="shared" si="55"/>
        <v>9.1292465988103365E-6</v>
      </c>
      <c r="O141" s="127">
        <f t="shared" si="43"/>
        <v>3.4340068345189447</v>
      </c>
      <c r="P141" s="127">
        <f t="shared" si="44"/>
        <v>8.4858173076923077E-7</v>
      </c>
      <c r="Q141" s="127">
        <f t="shared" si="45"/>
        <v>-2.7249444205289256E-6</v>
      </c>
      <c r="R141" s="127">
        <f t="shared" si="46"/>
        <v>-3.7206355767888494E-7</v>
      </c>
      <c r="S141" s="127">
        <f t="shared" si="47"/>
        <v>-2.2188261608066679E-8</v>
      </c>
      <c r="T141" s="127" t="e">
        <f t="shared" ca="1" si="56"/>
        <v>#NAME?</v>
      </c>
      <c r="U141" s="127" t="e">
        <f t="shared" ca="1" si="48"/>
        <v>#NAME?</v>
      </c>
      <c r="V141" s="127" t="e">
        <f t="shared" ca="1" si="49"/>
        <v>#NAME?</v>
      </c>
      <c r="W141" s="127" t="e">
        <f t="shared" ref="W141:W157" ca="1" si="57">1/U141</f>
        <v>#NAME?</v>
      </c>
      <c r="X141" s="127" t="e">
        <f t="shared" ca="1" si="50"/>
        <v>#NAME?</v>
      </c>
      <c r="Y141" s="127">
        <f t="shared" si="51"/>
        <v>146654.76108155036</v>
      </c>
      <c r="Z141" s="127" t="e">
        <f t="shared" ca="1" si="52"/>
        <v>#NAME?</v>
      </c>
      <c r="AA141" s="128" t="e">
        <f t="shared" ca="1" si="53"/>
        <v>#NAME?</v>
      </c>
      <c r="AB141" s="127" t="e">
        <f t="shared" ca="1" si="54"/>
        <v>#NAME?</v>
      </c>
      <c r="AC141" s="101"/>
    </row>
    <row r="142" spans="2:34">
      <c r="B142" s="97">
        <v>0.75</v>
      </c>
      <c r="C142" s="33">
        <f t="shared" si="32"/>
        <v>39</v>
      </c>
      <c r="D142" s="35">
        <f t="shared" si="33"/>
        <v>48.75</v>
      </c>
      <c r="E142" s="125" t="e">
        <f t="shared" ca="1" si="34"/>
        <v>#NAME?</v>
      </c>
      <c r="F142" s="126" t="e">
        <f t="shared" ca="1" si="35"/>
        <v>#NAME?</v>
      </c>
      <c r="G142" s="36" t="e">
        <f t="shared" ca="1" si="36"/>
        <v>#NAME?</v>
      </c>
      <c r="H142" s="74" t="e">
        <f t="shared" ca="1" si="37"/>
        <v>#NAME?</v>
      </c>
      <c r="I142" s="35" t="e">
        <f t="shared" ca="1" si="38"/>
        <v>#NAME?</v>
      </c>
      <c r="J142" s="35" t="e">
        <f t="shared" ca="1" si="39"/>
        <v>#NAME?</v>
      </c>
      <c r="K142" s="127">
        <f t="shared" si="40"/>
        <v>3.0104765417588197</v>
      </c>
      <c r="L142" s="127">
        <f t="shared" si="41"/>
        <v>8.2033812555989103E-6</v>
      </c>
      <c r="M142" s="127">
        <f t="shared" si="42"/>
        <v>7.3703486143438158E-9</v>
      </c>
      <c r="N142" s="127">
        <f t="shared" si="55"/>
        <v>8.5828151618921396E-6</v>
      </c>
      <c r="O142" s="127">
        <f t="shared" si="43"/>
        <v>3.2284642118432005</v>
      </c>
      <c r="P142" s="127">
        <f t="shared" si="44"/>
        <v>9.0515384615384617E-7</v>
      </c>
      <c r="Q142" s="127">
        <f t="shared" si="45"/>
        <v>-2.7249444205289256E-6</v>
      </c>
      <c r="R142" s="127">
        <f t="shared" si="46"/>
        <v>-3.7206355767888494E-7</v>
      </c>
      <c r="S142" s="127">
        <f t="shared" si="47"/>
        <v>-2.2188261608066679E-8</v>
      </c>
      <c r="T142" s="127" t="e">
        <f t="shared" ca="1" si="56"/>
        <v>#NAME?</v>
      </c>
      <c r="U142" s="127" t="e">
        <f t="shared" ca="1" si="48"/>
        <v>#NAME?</v>
      </c>
      <c r="V142" s="127" t="e">
        <f t="shared" ca="1" si="49"/>
        <v>#NAME?</v>
      </c>
      <c r="W142" s="127" t="e">
        <f t="shared" ca="1" si="57"/>
        <v>#NAME?</v>
      </c>
      <c r="X142" s="127" t="e">
        <f t="shared" ca="1" si="50"/>
        <v>#NAME?</v>
      </c>
      <c r="Y142" s="127">
        <f t="shared" si="51"/>
        <v>137488.83851395344</v>
      </c>
      <c r="Z142" s="127" t="e">
        <f t="shared" ca="1" si="52"/>
        <v>#NAME?</v>
      </c>
      <c r="AA142" s="127" t="e">
        <f t="shared" ca="1" si="53"/>
        <v>#NAME?</v>
      </c>
      <c r="AB142" s="127" t="e">
        <f t="shared" ca="1" si="54"/>
        <v>#NAME?</v>
      </c>
      <c r="AC142" s="33"/>
    </row>
    <row r="143" spans="2:34">
      <c r="B143" s="97">
        <v>0.7</v>
      </c>
      <c r="C143" s="33">
        <f t="shared" si="32"/>
        <v>36.4</v>
      </c>
      <c r="D143" s="35">
        <f t="shared" si="33"/>
        <v>45.499999999999993</v>
      </c>
      <c r="E143" s="125" t="e">
        <f t="shared" ca="1" si="34"/>
        <v>#NAME?</v>
      </c>
      <c r="F143" s="126" t="e">
        <f t="shared" ca="1" si="35"/>
        <v>#NAME?</v>
      </c>
      <c r="G143" s="36" t="e">
        <f t="shared" ca="1" si="36"/>
        <v>#NAME?</v>
      </c>
      <c r="H143" s="74" t="e">
        <f t="shared" ca="1" si="37"/>
        <v>#NAME?</v>
      </c>
      <c r="I143" s="35" t="e">
        <f t="shared" ca="1" si="38"/>
        <v>#NAME?</v>
      </c>
      <c r="J143" s="35" t="e">
        <f t="shared" ca="1" si="39"/>
        <v>#NAME?</v>
      </c>
      <c r="K143" s="127">
        <f t="shared" si="40"/>
        <v>2.8097781056415645</v>
      </c>
      <c r="L143" s="127">
        <f t="shared" si="41"/>
        <v>7.6564891718923146E-6</v>
      </c>
      <c r="M143" s="127">
        <f t="shared" si="42"/>
        <v>7.8968020867969477E-9</v>
      </c>
      <c r="N143" s="127">
        <f t="shared" si="55"/>
        <v>8.0364495316579973E-6</v>
      </c>
      <c r="O143" s="127">
        <f t="shared" si="43"/>
        <v>3.0229463426452323</v>
      </c>
      <c r="P143" s="127">
        <f t="shared" si="44"/>
        <v>9.6980769230769252E-7</v>
      </c>
      <c r="Q143" s="127">
        <f t="shared" si="45"/>
        <v>-2.7249444205289256E-6</v>
      </c>
      <c r="R143" s="127">
        <f t="shared" si="46"/>
        <v>-3.7206355767888494E-7</v>
      </c>
      <c r="S143" s="127">
        <f t="shared" si="47"/>
        <v>-2.2188261608066679E-8</v>
      </c>
      <c r="T143" s="127" t="e">
        <f t="shared" ca="1" si="56"/>
        <v>#NAME?</v>
      </c>
      <c r="U143" s="127" t="e">
        <f t="shared" ca="1" si="48"/>
        <v>#NAME?</v>
      </c>
      <c r="V143" s="127" t="e">
        <f t="shared" ca="1" si="49"/>
        <v>#NAME?</v>
      </c>
      <c r="W143" s="127" t="e">
        <f t="shared" ca="1" si="57"/>
        <v>#NAME?</v>
      </c>
      <c r="X143" s="127" t="e">
        <f t="shared" ca="1" si="50"/>
        <v>#NAME?</v>
      </c>
      <c r="Y143" s="127">
        <f t="shared" si="51"/>
        <v>128322.91594635653</v>
      </c>
      <c r="Z143" s="127" t="e">
        <f t="shared" ca="1" si="52"/>
        <v>#NAME?</v>
      </c>
      <c r="AA143" s="127" t="e">
        <f t="shared" ca="1" si="53"/>
        <v>#NAME?</v>
      </c>
      <c r="AB143" s="127" t="e">
        <f t="shared" ca="1" si="54"/>
        <v>#NAME?</v>
      </c>
      <c r="AC143" s="33"/>
    </row>
    <row r="144" spans="2:34">
      <c r="B144" s="97">
        <v>0.65</v>
      </c>
      <c r="C144" s="33">
        <f t="shared" si="32"/>
        <v>33.800000000000004</v>
      </c>
      <c r="D144" s="35">
        <f t="shared" si="33"/>
        <v>42.25</v>
      </c>
      <c r="E144" s="125" t="e">
        <f t="shared" ca="1" si="34"/>
        <v>#NAME?</v>
      </c>
      <c r="F144" s="126" t="e">
        <f t="shared" ca="1" si="35"/>
        <v>#NAME?</v>
      </c>
      <c r="G144" s="36" t="e">
        <f t="shared" ca="1" si="36"/>
        <v>#NAME?</v>
      </c>
      <c r="H144" s="74" t="e">
        <f t="shared" ca="1" si="37"/>
        <v>#NAME?</v>
      </c>
      <c r="I144" s="35" t="e">
        <f t="shared" ca="1" si="38"/>
        <v>#NAME?</v>
      </c>
      <c r="J144" s="35" t="e">
        <f t="shared" ca="1" si="39"/>
        <v>#NAME?</v>
      </c>
      <c r="K144" s="127">
        <f t="shared" si="40"/>
        <v>2.6090796695243101</v>
      </c>
      <c r="L144" s="127">
        <f t="shared" si="41"/>
        <v>7.1095970881857214E-6</v>
      </c>
      <c r="M144" s="127">
        <f t="shared" si="42"/>
        <v>8.5042484011659419E-9</v>
      </c>
      <c r="N144" s="127">
        <f t="shared" si="55"/>
        <v>7.4901648942657725E-6</v>
      </c>
      <c r="O144" s="127">
        <f t="shared" si="43"/>
        <v>2.8174589392660683</v>
      </c>
      <c r="P144" s="127">
        <f t="shared" si="44"/>
        <v>1.0444082840236687E-6</v>
      </c>
      <c r="Q144" s="127">
        <f t="shared" si="45"/>
        <v>-2.7249444205289256E-6</v>
      </c>
      <c r="R144" s="127">
        <f t="shared" si="46"/>
        <v>-3.7206355767888494E-7</v>
      </c>
      <c r="S144" s="127">
        <f t="shared" si="47"/>
        <v>-2.2188261608066679E-8</v>
      </c>
      <c r="T144" s="127" t="e">
        <f t="shared" ca="1" si="56"/>
        <v>#NAME?</v>
      </c>
      <c r="U144" s="127" t="e">
        <f t="shared" ca="1" si="48"/>
        <v>#NAME?</v>
      </c>
      <c r="V144" s="127" t="e">
        <f t="shared" ca="1" si="49"/>
        <v>#NAME?</v>
      </c>
      <c r="W144" s="127" t="e">
        <f t="shared" ca="1" si="57"/>
        <v>#NAME?</v>
      </c>
      <c r="X144" s="127" t="e">
        <f t="shared" ca="1" si="50"/>
        <v>#NAME?</v>
      </c>
      <c r="Y144" s="127">
        <f t="shared" si="51"/>
        <v>119156.99337875965</v>
      </c>
      <c r="Z144" s="127" t="e">
        <f t="shared" ca="1" si="52"/>
        <v>#NAME?</v>
      </c>
      <c r="AA144" s="127" t="e">
        <f t="shared" ca="1" si="53"/>
        <v>#NAME?</v>
      </c>
      <c r="AB144" s="127" t="e">
        <f t="shared" ca="1" si="54"/>
        <v>#NAME?</v>
      </c>
      <c r="AC144" s="33"/>
    </row>
    <row r="145" spans="2:29">
      <c r="B145" s="97">
        <v>0.6</v>
      </c>
      <c r="C145" s="33">
        <f t="shared" si="32"/>
        <v>31.2</v>
      </c>
      <c r="D145" s="35">
        <f t="shared" si="33"/>
        <v>39</v>
      </c>
      <c r="E145" s="125" t="e">
        <f t="shared" ca="1" si="34"/>
        <v>#NAME?</v>
      </c>
      <c r="F145" s="126" t="e">
        <f t="shared" ca="1" si="35"/>
        <v>#NAME?</v>
      </c>
      <c r="G145" s="36" t="e">
        <f t="shared" ca="1" si="36"/>
        <v>#NAME?</v>
      </c>
      <c r="H145" s="74" t="e">
        <f t="shared" ca="1" si="37"/>
        <v>#NAME?</v>
      </c>
      <c r="I145" s="35" t="e">
        <f t="shared" ca="1" si="38"/>
        <v>#NAME?</v>
      </c>
      <c r="J145" s="35" t="e">
        <f t="shared" ca="1" si="39"/>
        <v>#NAME?</v>
      </c>
      <c r="K145" s="127">
        <f t="shared" si="40"/>
        <v>2.4083812334070558</v>
      </c>
      <c r="L145" s="127">
        <f t="shared" si="41"/>
        <v>6.5627050044791282E-6</v>
      </c>
      <c r="M145" s="127">
        <f t="shared" si="42"/>
        <v>9.2129357679297698E-9</v>
      </c>
      <c r="N145" s="127">
        <f t="shared" si="55"/>
        <v>6.9439814979259426E-6</v>
      </c>
      <c r="O145" s="127">
        <f t="shared" si="43"/>
        <v>2.6120096181604078</v>
      </c>
      <c r="P145" s="127">
        <f t="shared" si="44"/>
        <v>1.1314423076923077E-6</v>
      </c>
      <c r="Q145" s="127">
        <f t="shared" si="45"/>
        <v>-2.7249444205289256E-6</v>
      </c>
      <c r="R145" s="127">
        <f t="shared" si="46"/>
        <v>-3.7206355767888494E-7</v>
      </c>
      <c r="S145" s="127">
        <f t="shared" si="47"/>
        <v>-2.2188261608066679E-8</v>
      </c>
      <c r="T145" s="127" t="e">
        <f t="shared" ca="1" si="56"/>
        <v>#NAME?</v>
      </c>
      <c r="U145" s="127" t="e">
        <f t="shared" ca="1" si="48"/>
        <v>#NAME?</v>
      </c>
      <c r="V145" s="127" t="e">
        <f t="shared" ca="1" si="49"/>
        <v>#NAME?</v>
      </c>
      <c r="W145" s="127" t="e">
        <f t="shared" ca="1" si="57"/>
        <v>#NAME?</v>
      </c>
      <c r="X145" s="127" t="e">
        <f t="shared" ca="1" si="50"/>
        <v>#NAME?</v>
      </c>
      <c r="Y145" s="127">
        <f t="shared" si="51"/>
        <v>109991.07081116276</v>
      </c>
      <c r="Z145" s="127" t="e">
        <f t="shared" ca="1" si="52"/>
        <v>#NAME?</v>
      </c>
      <c r="AA145" s="127" t="e">
        <f t="shared" ca="1" si="53"/>
        <v>#NAME?</v>
      </c>
      <c r="AB145" s="127" t="e">
        <f t="shared" ca="1" si="54"/>
        <v>#NAME?</v>
      </c>
      <c r="AC145" s="33"/>
    </row>
    <row r="146" spans="2:29">
      <c r="B146" s="97">
        <v>0.55000000000000004</v>
      </c>
      <c r="C146" s="33">
        <f t="shared" si="32"/>
        <v>28.6</v>
      </c>
      <c r="D146" s="35">
        <f t="shared" si="33"/>
        <v>35.75</v>
      </c>
      <c r="E146" s="125" t="e">
        <f t="shared" ca="1" si="34"/>
        <v>#NAME?</v>
      </c>
      <c r="F146" s="126" t="e">
        <f t="shared" ca="1" si="35"/>
        <v>#NAME?</v>
      </c>
      <c r="G146" s="36" t="e">
        <f t="shared" ca="1" si="36"/>
        <v>#NAME?</v>
      </c>
      <c r="H146" s="74" t="e">
        <f t="shared" ca="1" si="37"/>
        <v>#NAME?</v>
      </c>
      <c r="I146" s="35" t="e">
        <f t="shared" ca="1" si="38"/>
        <v>#NAME?</v>
      </c>
      <c r="J146" s="35" t="e">
        <f t="shared" ca="1" si="39"/>
        <v>#NAME?</v>
      </c>
      <c r="K146" s="127">
        <f t="shared" si="40"/>
        <v>2.207682797289801</v>
      </c>
      <c r="L146" s="127">
        <f t="shared" si="41"/>
        <v>6.0158129207725334E-6</v>
      </c>
      <c r="M146" s="127">
        <f t="shared" si="42"/>
        <v>1.0050475383196114E-8</v>
      </c>
      <c r="N146" s="127">
        <f t="shared" si="55"/>
        <v>6.3979269538346146E-6</v>
      </c>
      <c r="O146" s="127">
        <f t="shared" si="43"/>
        <v>2.4066087654028423</v>
      </c>
      <c r="P146" s="127">
        <f t="shared" si="44"/>
        <v>1.2343006993006993E-6</v>
      </c>
      <c r="Q146" s="127">
        <f t="shared" si="45"/>
        <v>-2.7249444205289256E-6</v>
      </c>
      <c r="R146" s="127">
        <f t="shared" si="46"/>
        <v>-3.7206355767888494E-7</v>
      </c>
      <c r="S146" s="127">
        <f t="shared" si="47"/>
        <v>-2.2188261608066679E-8</v>
      </c>
      <c r="T146" s="127" t="e">
        <f t="shared" ca="1" si="56"/>
        <v>#NAME?</v>
      </c>
      <c r="U146" s="127" t="e">
        <f t="shared" ca="1" si="48"/>
        <v>#NAME?</v>
      </c>
      <c r="V146" s="127" t="e">
        <f t="shared" ca="1" si="49"/>
        <v>#NAME?</v>
      </c>
      <c r="W146" s="127" t="e">
        <f t="shared" ca="1" si="57"/>
        <v>#NAME?</v>
      </c>
      <c r="X146" s="127" t="e">
        <f t="shared" ca="1" si="50"/>
        <v>#NAME?</v>
      </c>
      <c r="Y146" s="127">
        <f t="shared" si="51"/>
        <v>100825.14824356587</v>
      </c>
      <c r="Z146" s="127" t="e">
        <f t="shared" ca="1" si="52"/>
        <v>#NAME?</v>
      </c>
      <c r="AA146" s="127" t="e">
        <f t="shared" ca="1" si="53"/>
        <v>#NAME?</v>
      </c>
      <c r="AB146" s="127" t="e">
        <f t="shared" ca="1" si="54"/>
        <v>#NAME?</v>
      </c>
      <c r="AC146" s="33"/>
    </row>
    <row r="147" spans="2:29">
      <c r="B147" s="97">
        <v>0.5</v>
      </c>
      <c r="C147" s="33">
        <f t="shared" si="32"/>
        <v>26</v>
      </c>
      <c r="D147" s="35">
        <f t="shared" si="33"/>
        <v>32.5</v>
      </c>
      <c r="E147" s="125" t="e">
        <f t="shared" ca="1" si="34"/>
        <v>#NAME?</v>
      </c>
      <c r="F147" s="126" t="e">
        <f t="shared" ca="1" si="35"/>
        <v>#NAME?</v>
      </c>
      <c r="G147" s="36" t="e">
        <f t="shared" ca="1" si="36"/>
        <v>#NAME?</v>
      </c>
      <c r="H147" s="74" t="e">
        <f t="shared" ca="1" si="37"/>
        <v>#NAME?</v>
      </c>
      <c r="I147" s="35" t="e">
        <f t="shared" ca="1" si="38"/>
        <v>#NAME?</v>
      </c>
      <c r="J147" s="35" t="e">
        <f t="shared" ca="1" si="39"/>
        <v>#NAME?</v>
      </c>
      <c r="K147" s="127">
        <f t="shared" si="40"/>
        <v>2.0069843611725462</v>
      </c>
      <c r="L147" s="127">
        <f t="shared" si="41"/>
        <v>5.4689208370659402E-6</v>
      </c>
      <c r="M147" s="127">
        <f t="shared" si="42"/>
        <v>1.1055522921515725E-8</v>
      </c>
      <c r="N147" s="127">
        <f t="shared" si="55"/>
        <v>5.8520399176663412E-6</v>
      </c>
      <c r="O147" s="127">
        <f t="shared" si="43"/>
        <v>2.2012709214978012</v>
      </c>
      <c r="P147" s="127">
        <f t="shared" si="44"/>
        <v>1.3577307692307693E-6</v>
      </c>
      <c r="Q147" s="127">
        <f t="shared" si="45"/>
        <v>-2.7249444205289256E-6</v>
      </c>
      <c r="R147" s="127">
        <f t="shared" si="46"/>
        <v>-3.7206355767888494E-7</v>
      </c>
      <c r="S147" s="127">
        <f t="shared" si="47"/>
        <v>-2.2188261608066679E-8</v>
      </c>
      <c r="T147" s="127" t="e">
        <f t="shared" ca="1" si="56"/>
        <v>#NAME?</v>
      </c>
      <c r="U147" s="127" t="e">
        <f t="shared" ca="1" si="48"/>
        <v>#NAME?</v>
      </c>
      <c r="V147" s="127" t="e">
        <f t="shared" ca="1" si="49"/>
        <v>#NAME?</v>
      </c>
      <c r="W147" s="127" t="e">
        <f t="shared" ca="1" si="57"/>
        <v>#NAME?</v>
      </c>
      <c r="X147" s="127" t="e">
        <f t="shared" ca="1" si="50"/>
        <v>#NAME?</v>
      </c>
      <c r="Y147" s="127">
        <f t="shared" si="51"/>
        <v>91659.225675968963</v>
      </c>
      <c r="Z147" s="127" t="e">
        <f t="shared" ca="1" si="52"/>
        <v>#NAME?</v>
      </c>
      <c r="AA147" s="127" t="e">
        <f t="shared" ca="1" si="53"/>
        <v>#NAME?</v>
      </c>
      <c r="AB147" s="127" t="e">
        <f t="shared" ca="1" si="54"/>
        <v>#NAME?</v>
      </c>
      <c r="AC147" s="33"/>
    </row>
    <row r="148" spans="2:29">
      <c r="B148" s="97">
        <v>0.45</v>
      </c>
      <c r="C148" s="33">
        <f t="shared" si="32"/>
        <v>23.400000000000002</v>
      </c>
      <c r="D148" s="35">
        <f t="shared" si="33"/>
        <v>29.25</v>
      </c>
      <c r="E148" s="125" t="e">
        <f t="shared" ca="1" si="34"/>
        <v>#NAME?</v>
      </c>
      <c r="F148" s="126" t="e">
        <f t="shared" ca="1" si="35"/>
        <v>#NAME?</v>
      </c>
      <c r="G148" s="36" t="e">
        <f t="shared" ca="1" si="36"/>
        <v>#NAME?</v>
      </c>
      <c r="H148" s="74" t="e">
        <f t="shared" ca="1" si="37"/>
        <v>#NAME?</v>
      </c>
      <c r="I148" s="35" t="e">
        <f t="shared" ca="1" si="38"/>
        <v>#NAME?</v>
      </c>
      <c r="J148" s="35" t="e">
        <f t="shared" ca="1" si="39"/>
        <v>#NAME?</v>
      </c>
      <c r="K148" s="127">
        <f t="shared" si="40"/>
        <v>1.8062859250552918</v>
      </c>
      <c r="L148" s="127">
        <f t="shared" si="41"/>
        <v>4.9220287533593462E-6</v>
      </c>
      <c r="M148" s="127">
        <f t="shared" si="42"/>
        <v>1.2283914357239693E-8</v>
      </c>
      <c r="N148" s="127">
        <f t="shared" si="55"/>
        <v>5.3063762253954705E-6</v>
      </c>
      <c r="O148" s="127">
        <f t="shared" si="43"/>
        <v>1.9960170893961255</v>
      </c>
      <c r="P148" s="127">
        <f t="shared" si="44"/>
        <v>1.5085897435897437E-6</v>
      </c>
      <c r="Q148" s="127">
        <f t="shared" si="45"/>
        <v>-2.7249444205289256E-6</v>
      </c>
      <c r="R148" s="127">
        <f t="shared" si="46"/>
        <v>-3.7206355767888494E-7</v>
      </c>
      <c r="S148" s="127">
        <f t="shared" si="47"/>
        <v>-2.2188261608066679E-8</v>
      </c>
      <c r="T148" s="127" t="e">
        <f t="shared" ca="1" si="56"/>
        <v>#NAME?</v>
      </c>
      <c r="U148" s="127" t="e">
        <f t="shared" ca="1" si="48"/>
        <v>#NAME?</v>
      </c>
      <c r="V148" s="127" t="e">
        <f t="shared" ca="1" si="49"/>
        <v>#NAME?</v>
      </c>
      <c r="W148" s="127" t="e">
        <f t="shared" ca="1" si="57"/>
        <v>#NAME?</v>
      </c>
      <c r="X148" s="127" t="e">
        <f t="shared" ca="1" si="50"/>
        <v>#NAME?</v>
      </c>
      <c r="Y148" s="127">
        <f t="shared" si="51"/>
        <v>82493.303108372071</v>
      </c>
      <c r="Z148" s="127" t="e">
        <f t="shared" ca="1" si="52"/>
        <v>#NAME?</v>
      </c>
      <c r="AA148" s="127" t="e">
        <f t="shared" ca="1" si="53"/>
        <v>#NAME?</v>
      </c>
      <c r="AB148" s="127" t="e">
        <f t="shared" ca="1" si="54"/>
        <v>#NAME?</v>
      </c>
      <c r="AC148" s="33"/>
    </row>
    <row r="149" spans="2:29">
      <c r="B149" s="97">
        <v>0.4</v>
      </c>
      <c r="C149" s="33">
        <f t="shared" si="32"/>
        <v>20.8</v>
      </c>
      <c r="D149" s="35">
        <f t="shared" si="33"/>
        <v>26</v>
      </c>
      <c r="E149" s="125" t="e">
        <f t="shared" ca="1" si="34"/>
        <v>#NAME?</v>
      </c>
      <c r="F149" s="126" t="e">
        <f t="shared" ca="1" si="35"/>
        <v>#NAME?</v>
      </c>
      <c r="G149" s="36" t="e">
        <f t="shared" ca="1" si="36"/>
        <v>#NAME?</v>
      </c>
      <c r="H149" s="74" t="e">
        <f t="shared" ca="1" si="37"/>
        <v>#NAME?</v>
      </c>
      <c r="I149" s="35" t="e">
        <f t="shared" ca="1" si="38"/>
        <v>#NAME?</v>
      </c>
      <c r="J149" s="35" t="e">
        <f t="shared" ca="1" si="39"/>
        <v>#NAME?</v>
      </c>
      <c r="K149" s="127">
        <f t="shared" si="40"/>
        <v>1.605587488938037</v>
      </c>
      <c r="L149" s="127">
        <f t="shared" si="41"/>
        <v>4.3751366696527522E-6</v>
      </c>
      <c r="M149" s="127">
        <f t="shared" si="42"/>
        <v>1.3819403651894656E-8</v>
      </c>
      <c r="N149" s="127">
        <f t="shared" si="55"/>
        <v>4.7610196309835315E-6</v>
      </c>
      <c r="O149" s="127">
        <f t="shared" si="43"/>
        <v>1.7908787735240774</v>
      </c>
      <c r="P149" s="127">
        <f t="shared" si="44"/>
        <v>1.6971634615384615E-6</v>
      </c>
      <c r="Q149" s="127">
        <f t="shared" si="45"/>
        <v>-2.7249444205289256E-6</v>
      </c>
      <c r="R149" s="127">
        <f t="shared" si="46"/>
        <v>-3.7206355767888494E-7</v>
      </c>
      <c r="S149" s="127">
        <f t="shared" si="47"/>
        <v>-2.2188261608066679E-8</v>
      </c>
      <c r="T149" s="127" t="e">
        <f t="shared" ca="1" si="56"/>
        <v>#NAME?</v>
      </c>
      <c r="U149" s="127" t="e">
        <f t="shared" ca="1" si="48"/>
        <v>#NAME?</v>
      </c>
      <c r="V149" s="127" t="e">
        <f t="shared" ca="1" si="49"/>
        <v>#NAME?</v>
      </c>
      <c r="W149" s="127" t="e">
        <f t="shared" ca="1" si="57"/>
        <v>#NAME?</v>
      </c>
      <c r="X149" s="127" t="e">
        <f t="shared" ca="1" si="50"/>
        <v>#NAME?</v>
      </c>
      <c r="Y149" s="127">
        <f t="shared" si="51"/>
        <v>73327.380540775179</v>
      </c>
      <c r="Z149" s="127" t="e">
        <f t="shared" ca="1" si="52"/>
        <v>#NAME?</v>
      </c>
      <c r="AA149" s="127" t="e">
        <f t="shared" ca="1" si="53"/>
        <v>#NAME?</v>
      </c>
      <c r="AB149" s="127" t="e">
        <f t="shared" ca="1" si="54"/>
        <v>#NAME?</v>
      </c>
      <c r="AC149" s="33"/>
    </row>
    <row r="150" spans="2:29">
      <c r="B150" s="97">
        <v>0.35</v>
      </c>
      <c r="C150" s="33">
        <f t="shared" si="32"/>
        <v>18.2</v>
      </c>
      <c r="D150" s="35">
        <f t="shared" si="33"/>
        <v>22.749999999999996</v>
      </c>
      <c r="E150" s="125" t="e">
        <f t="shared" ca="1" si="34"/>
        <v>#NAME?</v>
      </c>
      <c r="F150" s="126" t="e">
        <f t="shared" ca="1" si="35"/>
        <v>#NAME?</v>
      </c>
      <c r="G150" s="36" t="e">
        <f t="shared" ca="1" si="36"/>
        <v>#NAME?</v>
      </c>
      <c r="H150" s="74" t="e">
        <f t="shared" ca="1" si="37"/>
        <v>#NAME?</v>
      </c>
      <c r="I150" s="35" t="e">
        <f t="shared" ca="1" si="38"/>
        <v>#NAME?</v>
      </c>
      <c r="J150" s="35" t="e">
        <f t="shared" ca="1" si="39"/>
        <v>#NAME?</v>
      </c>
      <c r="K150" s="127">
        <f t="shared" si="40"/>
        <v>1.4048890528207822</v>
      </c>
      <c r="L150" s="127">
        <f t="shared" si="41"/>
        <v>3.8282445859461573E-6</v>
      </c>
      <c r="M150" s="127">
        <f t="shared" si="42"/>
        <v>1.5793604173593895E-8</v>
      </c>
      <c r="N150" s="127">
        <f t="shared" si="55"/>
        <v>4.2161017477986359E-6</v>
      </c>
      <c r="O150" s="127">
        <f t="shared" si="43"/>
        <v>1.5859054808372117</v>
      </c>
      <c r="P150" s="127">
        <f t="shared" si="44"/>
        <v>1.939615384615385E-6</v>
      </c>
      <c r="Q150" s="127">
        <f t="shared" si="45"/>
        <v>-2.7249444205289256E-6</v>
      </c>
      <c r="R150" s="127">
        <f t="shared" si="46"/>
        <v>-3.7206355767888494E-7</v>
      </c>
      <c r="S150" s="127">
        <f t="shared" si="47"/>
        <v>-2.2188261608066679E-8</v>
      </c>
      <c r="T150" s="127" t="e">
        <f t="shared" ca="1" si="56"/>
        <v>#NAME?</v>
      </c>
      <c r="U150" s="127" t="e">
        <f t="shared" ca="1" si="48"/>
        <v>#NAME?</v>
      </c>
      <c r="V150" s="127" t="e">
        <f t="shared" ca="1" si="49"/>
        <v>#NAME?</v>
      </c>
      <c r="W150" s="127" t="e">
        <f t="shared" ca="1" si="57"/>
        <v>#NAME?</v>
      </c>
      <c r="X150" s="127" t="e">
        <f t="shared" ca="1" si="50"/>
        <v>#NAME?</v>
      </c>
      <c r="Y150" s="127">
        <f t="shared" si="51"/>
        <v>64161.457973178265</v>
      </c>
      <c r="Z150" s="127" t="e">
        <f t="shared" ca="1" si="52"/>
        <v>#NAME?</v>
      </c>
      <c r="AA150" s="127" t="e">
        <f t="shared" ca="1" si="53"/>
        <v>#NAME?</v>
      </c>
      <c r="AB150" s="127" t="e">
        <f t="shared" ca="1" si="54"/>
        <v>#NAME?</v>
      </c>
      <c r="AC150" s="33"/>
    </row>
    <row r="151" spans="2:29">
      <c r="B151" s="97">
        <v>0.3</v>
      </c>
      <c r="C151" s="33">
        <f t="shared" si="32"/>
        <v>15.6</v>
      </c>
      <c r="D151" s="35">
        <f t="shared" si="33"/>
        <v>19.5</v>
      </c>
      <c r="E151" s="125" t="e">
        <f t="shared" ca="1" si="34"/>
        <v>#NAME?</v>
      </c>
      <c r="F151" s="126" t="e">
        <f t="shared" ca="1" si="35"/>
        <v>#NAME?</v>
      </c>
      <c r="G151" s="36" t="e">
        <f t="shared" ca="1" si="36"/>
        <v>#NAME?</v>
      </c>
      <c r="H151" s="74" t="e">
        <f t="shared" ca="1" si="37"/>
        <v>#NAME?</v>
      </c>
      <c r="I151" s="35" t="e">
        <f t="shared" ca="1" si="38"/>
        <v>#NAME?</v>
      </c>
      <c r="J151" s="35" t="e">
        <f t="shared" ca="1" si="39"/>
        <v>#NAME?</v>
      </c>
      <c r="K151" s="127">
        <f t="shared" si="40"/>
        <v>1.2041906167035279</v>
      </c>
      <c r="L151" s="127">
        <f t="shared" si="41"/>
        <v>3.2813525022395641E-6</v>
      </c>
      <c r="M151" s="127">
        <f t="shared" si="42"/>
        <v>1.842587153585954E-8</v>
      </c>
      <c r="N151" s="127">
        <f t="shared" si="55"/>
        <v>3.6718419314543086E-6</v>
      </c>
      <c r="O151" s="127">
        <f t="shared" si="43"/>
        <v>1.3811797229281195</v>
      </c>
      <c r="P151" s="127">
        <f t="shared" si="44"/>
        <v>2.2628846153846154E-6</v>
      </c>
      <c r="Q151" s="127">
        <f t="shared" si="45"/>
        <v>-2.7249444205289256E-6</v>
      </c>
      <c r="R151" s="127">
        <f t="shared" si="46"/>
        <v>-3.7206355767888494E-7</v>
      </c>
      <c r="S151" s="127">
        <f t="shared" si="47"/>
        <v>-2.2188261608066679E-8</v>
      </c>
      <c r="T151" s="127" t="e">
        <f t="shared" ca="1" si="56"/>
        <v>#NAME?</v>
      </c>
      <c r="U151" s="127" t="e">
        <f t="shared" ca="1" si="48"/>
        <v>#NAME?</v>
      </c>
      <c r="V151" s="127" t="e">
        <f t="shared" ca="1" si="49"/>
        <v>#NAME?</v>
      </c>
      <c r="W151" s="127" t="e">
        <f t="shared" ca="1" si="57"/>
        <v>#NAME?</v>
      </c>
      <c r="X151" s="127" t="e">
        <f t="shared" ca="1" si="50"/>
        <v>#NAME?</v>
      </c>
      <c r="Y151" s="127">
        <f t="shared" si="51"/>
        <v>54995.53540558138</v>
      </c>
      <c r="Z151" s="127" t="e">
        <f t="shared" ca="1" si="52"/>
        <v>#NAME?</v>
      </c>
      <c r="AA151" s="127" t="e">
        <f t="shared" ca="1" si="53"/>
        <v>#NAME?</v>
      </c>
      <c r="AB151" s="127" t="e">
        <f t="shared" ca="1" si="54"/>
        <v>#NAME?</v>
      </c>
      <c r="AC151" s="33"/>
    </row>
    <row r="152" spans="2:29">
      <c r="B152" s="97">
        <v>0.25</v>
      </c>
      <c r="C152" s="33">
        <f t="shared" si="32"/>
        <v>13</v>
      </c>
      <c r="D152" s="35">
        <f t="shared" si="33"/>
        <v>16.25</v>
      </c>
      <c r="E152" s="125" t="e">
        <f t="shared" ca="1" si="34"/>
        <v>#NAME?</v>
      </c>
      <c r="F152" s="126" t="e">
        <f t="shared" ca="1" si="35"/>
        <v>#NAME?</v>
      </c>
      <c r="G152" s="36" t="e">
        <f t="shared" ca="1" si="36"/>
        <v>#NAME?</v>
      </c>
      <c r="H152" s="74" t="e">
        <f t="shared" ca="1" si="37"/>
        <v>#NAME?</v>
      </c>
      <c r="I152" s="35" t="e">
        <f t="shared" ca="1" si="38"/>
        <v>#NAME?</v>
      </c>
      <c r="J152" s="35" t="e">
        <f t="shared" ca="1" si="39"/>
        <v>#NAME?</v>
      </c>
      <c r="K152" s="127">
        <f t="shared" si="40"/>
        <v>1.0034921805862731</v>
      </c>
      <c r="L152" s="127">
        <f t="shared" si="41"/>
        <v>2.7344604185329701E-6</v>
      </c>
      <c r="M152" s="127">
        <f t="shared" si="42"/>
        <v>2.2111045843031451E-8</v>
      </c>
      <c r="N152" s="127">
        <f t="shared" si="55"/>
        <v>3.1286350220548867E-6</v>
      </c>
      <c r="O152" s="127">
        <f t="shared" si="43"/>
        <v>1.1768500206634649</v>
      </c>
      <c r="P152" s="127">
        <f t="shared" si="44"/>
        <v>2.7154615384615386E-6</v>
      </c>
      <c r="Q152" s="127">
        <f t="shared" si="45"/>
        <v>-2.7249444205289256E-6</v>
      </c>
      <c r="R152" s="127">
        <f t="shared" si="46"/>
        <v>-3.7206355767888494E-7</v>
      </c>
      <c r="S152" s="127">
        <f t="shared" si="47"/>
        <v>-2.2188261608066679E-8</v>
      </c>
      <c r="T152" s="127" t="e">
        <f t="shared" ca="1" si="56"/>
        <v>#NAME?</v>
      </c>
      <c r="U152" s="127" t="e">
        <f t="shared" ca="1" si="48"/>
        <v>#NAME?</v>
      </c>
      <c r="V152" s="127" t="e">
        <f t="shared" ca="1" si="49"/>
        <v>#NAME?</v>
      </c>
      <c r="W152" s="127" t="e">
        <f t="shared" ca="1" si="57"/>
        <v>#NAME?</v>
      </c>
      <c r="X152" s="127" t="e">
        <f t="shared" ca="1" si="50"/>
        <v>#NAME?</v>
      </c>
      <c r="Y152" s="127">
        <f t="shared" si="51"/>
        <v>45829.612837984481</v>
      </c>
      <c r="Z152" s="127" t="e">
        <f t="shared" ca="1" si="52"/>
        <v>#NAME?</v>
      </c>
      <c r="AA152" s="127" t="e">
        <f t="shared" ca="1" si="53"/>
        <v>#NAME?</v>
      </c>
      <c r="AB152" s="127" t="e">
        <f t="shared" ca="1" si="54"/>
        <v>#NAME?</v>
      </c>
      <c r="AC152" s="33"/>
    </row>
    <row r="153" spans="2:29">
      <c r="B153" s="97">
        <v>0.2</v>
      </c>
      <c r="C153" s="33">
        <f t="shared" si="32"/>
        <v>10.4</v>
      </c>
      <c r="D153" s="35">
        <f t="shared" si="33"/>
        <v>13</v>
      </c>
      <c r="E153" s="125" t="e">
        <f t="shared" ca="1" si="34"/>
        <v>#NAME?</v>
      </c>
      <c r="F153" s="126" t="e">
        <f t="shared" ca="1" si="35"/>
        <v>#NAME?</v>
      </c>
      <c r="G153" s="36" t="e">
        <f t="shared" ca="1" si="36"/>
        <v>#NAME?</v>
      </c>
      <c r="H153" s="74" t="e">
        <f t="shared" ca="1" si="37"/>
        <v>#NAME?</v>
      </c>
      <c r="I153" s="35" t="e">
        <f t="shared" ca="1" si="38"/>
        <v>#NAME?</v>
      </c>
      <c r="J153" s="35" t="e">
        <f t="shared" ca="1" si="39"/>
        <v>#NAME?</v>
      </c>
      <c r="K153" s="127">
        <f t="shared" si="40"/>
        <v>0.80279374446901852</v>
      </c>
      <c r="L153" s="127">
        <f t="shared" si="41"/>
        <v>2.1875683348263761E-6</v>
      </c>
      <c r="M153" s="127">
        <f t="shared" si="42"/>
        <v>2.7638807303789311E-8</v>
      </c>
      <c r="N153" s="127">
        <f t="shared" si="55"/>
        <v>2.5872706998090502E-6</v>
      </c>
      <c r="O153" s="127">
        <f t="shared" si="43"/>
        <v>0.9732134157765755</v>
      </c>
      <c r="P153" s="127">
        <f t="shared" si="44"/>
        <v>3.3943269230769231E-6</v>
      </c>
      <c r="Q153" s="127">
        <f t="shared" si="45"/>
        <v>-2.7249444205289256E-6</v>
      </c>
      <c r="R153" s="127">
        <f t="shared" si="46"/>
        <v>-3.7206355767888494E-7</v>
      </c>
      <c r="S153" s="127">
        <f t="shared" si="47"/>
        <v>-2.2188261608066679E-8</v>
      </c>
      <c r="T153" s="127" t="e">
        <f t="shared" ca="1" si="56"/>
        <v>#NAME?</v>
      </c>
      <c r="U153" s="127" t="e">
        <f t="shared" ca="1" si="48"/>
        <v>#NAME?</v>
      </c>
      <c r="V153" s="127" t="e">
        <f t="shared" ca="1" si="49"/>
        <v>#NAME?</v>
      </c>
      <c r="W153" s="127" t="e">
        <f t="shared" ca="1" si="57"/>
        <v>#NAME?</v>
      </c>
      <c r="X153" s="127" t="e">
        <f t="shared" ca="1" si="50"/>
        <v>#NAME?</v>
      </c>
      <c r="Y153" s="127">
        <f t="shared" si="51"/>
        <v>36663.690270387589</v>
      </c>
      <c r="Z153" s="127" t="e">
        <f t="shared" ca="1" si="52"/>
        <v>#NAME?</v>
      </c>
      <c r="AA153" s="127" t="e">
        <f t="shared" ca="1" si="53"/>
        <v>#NAME?</v>
      </c>
      <c r="AB153" s="127" t="e">
        <f t="shared" ca="1" si="54"/>
        <v>#NAME?</v>
      </c>
      <c r="AC153" s="33"/>
    </row>
    <row r="154" spans="2:29">
      <c r="B154" s="97">
        <v>0.15</v>
      </c>
      <c r="C154" s="33">
        <f t="shared" si="32"/>
        <v>7.8</v>
      </c>
      <c r="D154" s="35">
        <f t="shared" si="33"/>
        <v>9.75</v>
      </c>
      <c r="E154" s="125" t="e">
        <f t="shared" ca="1" si="34"/>
        <v>#NAME?</v>
      </c>
      <c r="F154" s="126" t="e">
        <f t="shared" ca="1" si="35"/>
        <v>#NAME?</v>
      </c>
      <c r="G154" s="36" t="e">
        <f t="shared" ca="1" si="36"/>
        <v>#NAME?</v>
      </c>
      <c r="H154" s="74" t="e">
        <f t="shared" ca="1" si="37"/>
        <v>#NAME?</v>
      </c>
      <c r="I154" s="35" t="e">
        <f t="shared" ca="1" si="38"/>
        <v>#NAME?</v>
      </c>
      <c r="J154" s="35" t="e">
        <f t="shared" ca="1" si="39"/>
        <v>#NAME?</v>
      </c>
      <c r="K154" s="127">
        <f t="shared" si="40"/>
        <v>0.60209530835176395</v>
      </c>
      <c r="L154" s="127">
        <f t="shared" si="41"/>
        <v>1.6406762511197821E-6</v>
      </c>
      <c r="M154" s="127">
        <f t="shared" si="42"/>
        <v>3.6851743071719079E-8</v>
      </c>
      <c r="N154" s="127">
        <f t="shared" si="55"/>
        <v>2.0495915518703858E-6</v>
      </c>
      <c r="O154" s="127">
        <f t="shared" si="43"/>
        <v>0.77096300564521736</v>
      </c>
      <c r="P154" s="127">
        <f t="shared" si="44"/>
        <v>4.5257692307692308E-6</v>
      </c>
      <c r="Q154" s="127">
        <f t="shared" si="45"/>
        <v>-2.7249444205289256E-6</v>
      </c>
      <c r="R154" s="127">
        <f t="shared" si="46"/>
        <v>-3.7206355767888494E-7</v>
      </c>
      <c r="S154" s="127">
        <f t="shared" si="47"/>
        <v>-2.2188261608066679E-8</v>
      </c>
      <c r="T154" s="127" t="e">
        <f t="shared" ca="1" si="56"/>
        <v>#NAME?</v>
      </c>
      <c r="U154" s="127" t="e">
        <f t="shared" ca="1" si="48"/>
        <v>#NAME?</v>
      </c>
      <c r="V154" s="127" t="e">
        <f t="shared" ca="1" si="49"/>
        <v>#NAME?</v>
      </c>
      <c r="W154" s="127" t="e">
        <f t="shared" ca="1" si="57"/>
        <v>#NAME?</v>
      </c>
      <c r="X154" s="127" t="e">
        <f t="shared" ca="1" si="50"/>
        <v>#NAME?</v>
      </c>
      <c r="Y154" s="127">
        <f t="shared" si="51"/>
        <v>27497.76770279069</v>
      </c>
      <c r="Z154" s="127" t="e">
        <f t="shared" ca="1" si="52"/>
        <v>#NAME?</v>
      </c>
      <c r="AA154" s="127" t="e">
        <f t="shared" ca="1" si="53"/>
        <v>#NAME?</v>
      </c>
      <c r="AB154" s="127" t="e">
        <f t="shared" ca="1" si="54"/>
        <v>#NAME?</v>
      </c>
      <c r="AC154" s="33"/>
    </row>
    <row r="155" spans="2:29">
      <c r="B155" s="97">
        <v>0.1</v>
      </c>
      <c r="C155" s="33">
        <f t="shared" si="32"/>
        <v>5.2</v>
      </c>
      <c r="D155" s="35">
        <f t="shared" si="33"/>
        <v>6.5</v>
      </c>
      <c r="E155" s="125" t="e">
        <f t="shared" ca="1" si="34"/>
        <v>#NAME?</v>
      </c>
      <c r="F155" s="126" t="e">
        <f t="shared" ca="1" si="35"/>
        <v>#NAME?</v>
      </c>
      <c r="G155" s="36" t="e">
        <f t="shared" ca="1" si="36"/>
        <v>#NAME?</v>
      </c>
      <c r="H155" s="74" t="e">
        <f t="shared" ca="1" si="37"/>
        <v>#NAME?</v>
      </c>
      <c r="I155" s="35" t="e">
        <f t="shared" ca="1" si="38"/>
        <v>#NAME?</v>
      </c>
      <c r="J155" s="35" t="e">
        <f t="shared" ca="1" si="39"/>
        <v>#NAME?</v>
      </c>
      <c r="K155" s="127">
        <f t="shared" si="40"/>
        <v>0.40139687223450926</v>
      </c>
      <c r="L155" s="127">
        <f t="shared" si="41"/>
        <v>1.093784167413188E-6</v>
      </c>
      <c r="M155" s="127">
        <f t="shared" si="42"/>
        <v>5.5277614607578622E-8</v>
      </c>
      <c r="N155" s="127">
        <f t="shared" si="55"/>
        <v>1.5211253396996516E-6</v>
      </c>
      <c r="O155" s="127">
        <f t="shared" si="43"/>
        <v>0.57217808240268753</v>
      </c>
      <c r="P155" s="127">
        <f t="shared" si="44"/>
        <v>6.7886538461538462E-6</v>
      </c>
      <c r="Q155" s="127">
        <f t="shared" si="45"/>
        <v>-2.7249444205289256E-6</v>
      </c>
      <c r="R155" s="127">
        <f t="shared" si="46"/>
        <v>-3.7206355767888494E-7</v>
      </c>
      <c r="S155" s="127">
        <f t="shared" si="47"/>
        <v>-2.2188261608066679E-8</v>
      </c>
      <c r="T155" s="127" t="e">
        <f t="shared" ca="1" si="56"/>
        <v>#NAME?</v>
      </c>
      <c r="U155" s="127" t="e">
        <f t="shared" ca="1" si="48"/>
        <v>#NAME?</v>
      </c>
      <c r="V155" s="127" t="e">
        <f t="shared" ca="1" si="49"/>
        <v>#NAME?</v>
      </c>
      <c r="W155" s="127" t="e">
        <f t="shared" ca="1" si="57"/>
        <v>#NAME?</v>
      </c>
      <c r="X155" s="127" t="e">
        <f t="shared" ca="1" si="50"/>
        <v>#NAME?</v>
      </c>
      <c r="Y155" s="127">
        <f t="shared" si="51"/>
        <v>18331.845135193795</v>
      </c>
      <c r="Z155" s="127" t="e">
        <f t="shared" ca="1" si="52"/>
        <v>#NAME?</v>
      </c>
      <c r="AA155" s="127" t="e">
        <f t="shared" ca="1" si="53"/>
        <v>#NAME?</v>
      </c>
      <c r="AB155" s="127" t="e">
        <f t="shared" ca="1" si="54"/>
        <v>#NAME?</v>
      </c>
      <c r="AC155" s="33"/>
    </row>
    <row r="156" spans="2:29">
      <c r="B156" s="97">
        <v>4.9999999999999933E-2</v>
      </c>
      <c r="C156" s="33">
        <f t="shared" si="32"/>
        <v>2.5999999999999965</v>
      </c>
      <c r="D156" s="35">
        <f t="shared" si="33"/>
        <v>3.2499999999999956</v>
      </c>
      <c r="E156" s="125" t="e">
        <f t="shared" ca="1" si="34"/>
        <v>#NAME?</v>
      </c>
      <c r="F156" s="126" t="e">
        <f t="shared" ca="1" si="35"/>
        <v>#NAME?</v>
      </c>
      <c r="G156" s="36" t="e">
        <f t="shared" ca="1" si="36"/>
        <v>#NAME?</v>
      </c>
      <c r="H156" s="74" t="e">
        <f t="shared" ca="1" si="37"/>
        <v>#NAME?</v>
      </c>
      <c r="I156" s="35" t="e">
        <f t="shared" ca="1" si="38"/>
        <v>#NAME?</v>
      </c>
      <c r="J156" s="35" t="e">
        <f t="shared" ca="1" si="39"/>
        <v>#NAME?</v>
      </c>
      <c r="K156" s="127">
        <f t="shared" si="40"/>
        <v>0.20069843611725435</v>
      </c>
      <c r="L156" s="127">
        <f t="shared" si="41"/>
        <v>5.4689208370659317E-7</v>
      </c>
      <c r="M156" s="127">
        <f t="shared" si="42"/>
        <v>1.105552292151574E-7</v>
      </c>
      <c r="N156" s="127">
        <f t="shared" si="55"/>
        <v>1.0295108706006356E-6</v>
      </c>
      <c r="O156" s="127">
        <f t="shared" si="43"/>
        <v>0.38725510671546926</v>
      </c>
      <c r="P156" s="127">
        <f t="shared" si="44"/>
        <v>1.3577307692307711E-5</v>
      </c>
      <c r="Q156" s="127">
        <f t="shared" si="45"/>
        <v>-2.7249444205289256E-6</v>
      </c>
      <c r="R156" s="127">
        <f t="shared" si="46"/>
        <v>-3.7206355767888494E-7</v>
      </c>
      <c r="S156" s="127">
        <f t="shared" si="47"/>
        <v>-2.2188261608066679E-8</v>
      </c>
      <c r="T156" s="127" t="e">
        <f t="shared" ca="1" si="56"/>
        <v>#NAME?</v>
      </c>
      <c r="U156" s="127" t="e">
        <f t="shared" ca="1" si="48"/>
        <v>#NAME?</v>
      </c>
      <c r="V156" s="127" t="e">
        <f t="shared" ca="1" si="49"/>
        <v>#NAME?</v>
      </c>
      <c r="W156" s="127" t="e">
        <f t="shared" ca="1" si="57"/>
        <v>#NAME?</v>
      </c>
      <c r="X156" s="127" t="e">
        <f t="shared" ca="1" si="50"/>
        <v>#NAME?</v>
      </c>
      <c r="Y156" s="127">
        <f t="shared" si="51"/>
        <v>9165.9225675968846</v>
      </c>
      <c r="Z156" s="127" t="e">
        <f t="shared" ca="1" si="52"/>
        <v>#NAME?</v>
      </c>
      <c r="AA156" s="127" t="e">
        <f t="shared" ca="1" si="53"/>
        <v>#NAME?</v>
      </c>
      <c r="AB156" s="127" t="e">
        <f t="shared" ca="1" si="54"/>
        <v>#NAME?</v>
      </c>
      <c r="AC156" s="33"/>
    </row>
    <row r="157" spans="2:29">
      <c r="B157" s="97">
        <v>0.01</v>
      </c>
      <c r="C157" s="33">
        <f t="shared" si="32"/>
        <v>0.52</v>
      </c>
      <c r="D157" s="35">
        <f t="shared" si="33"/>
        <v>0.65</v>
      </c>
      <c r="E157" s="125" t="e">
        <f t="shared" ca="1" si="34"/>
        <v>#NAME?</v>
      </c>
      <c r="F157" s="126" t="e">
        <f t="shared" ca="1" si="35"/>
        <v>#NAME?</v>
      </c>
      <c r="G157" s="36" t="e">
        <f t="shared" ca="1" si="36"/>
        <v>#NAME?</v>
      </c>
      <c r="H157" s="74" t="e">
        <f t="shared" ca="1" si="37"/>
        <v>#NAME?</v>
      </c>
      <c r="I157" s="35" t="e">
        <f t="shared" ca="1" si="38"/>
        <v>#NAME?</v>
      </c>
      <c r="J157" s="35" t="e">
        <f t="shared" ca="1" si="39"/>
        <v>#NAME?</v>
      </c>
      <c r="K157" s="127">
        <f t="shared" si="40"/>
        <v>4.0139687223450932E-2</v>
      </c>
      <c r="L157" s="127">
        <f t="shared" si="41"/>
        <v>1.0937841674131882E-7</v>
      </c>
      <c r="M157" s="127">
        <f t="shared" si="42"/>
        <v>5.5277614607578616E-7</v>
      </c>
      <c r="N157" s="127">
        <f t="shared" si="55"/>
        <v>1.03421812049599E-6</v>
      </c>
      <c r="O157" s="127">
        <f t="shared" si="43"/>
        <v>0.38902575976306486</v>
      </c>
      <c r="P157" s="127">
        <f t="shared" si="44"/>
        <v>6.7886538461538467E-5</v>
      </c>
      <c r="Q157" s="127">
        <f t="shared" si="45"/>
        <v>-2.7249444205289256E-6</v>
      </c>
      <c r="R157" s="127">
        <f t="shared" si="46"/>
        <v>-3.7206355767888494E-7</v>
      </c>
      <c r="S157" s="127">
        <f t="shared" si="47"/>
        <v>-2.2188261608066679E-8</v>
      </c>
      <c r="T157" s="127" t="e">
        <f t="shared" ca="1" si="56"/>
        <v>#NAME?</v>
      </c>
      <c r="U157" s="127" t="e">
        <f t="shared" ca="1" si="48"/>
        <v>#NAME?</v>
      </c>
      <c r="V157" s="127" t="e">
        <f t="shared" ca="1" si="49"/>
        <v>#NAME?</v>
      </c>
      <c r="W157" s="127" t="e">
        <f t="shared" ca="1" si="57"/>
        <v>#NAME?</v>
      </c>
      <c r="X157" s="127" t="e">
        <f t="shared" ca="1" si="50"/>
        <v>#NAME?</v>
      </c>
      <c r="Y157" s="127">
        <f t="shared" si="51"/>
        <v>1833.1845135193794</v>
      </c>
      <c r="Z157" s="127" t="e">
        <f t="shared" ca="1" si="52"/>
        <v>#NAME?</v>
      </c>
      <c r="AA157" s="127" t="e">
        <f t="shared" ca="1" si="53"/>
        <v>#NAME?</v>
      </c>
      <c r="AB157" s="127" t="e">
        <f t="shared" ca="1" si="54"/>
        <v>#NAME?</v>
      </c>
      <c r="AC157" s="33"/>
    </row>
    <row r="161" spans="2:10" ht="18.75">
      <c r="B161" s="169" t="s">
        <v>413</v>
      </c>
      <c r="C161" s="169"/>
      <c r="D161" s="169"/>
      <c r="E161" s="169"/>
      <c r="F161" s="169"/>
      <c r="G161" s="169"/>
      <c r="H161" s="169"/>
      <c r="I161" s="169"/>
      <c r="J161" s="169"/>
    </row>
    <row r="162" spans="2:10" ht="15.75">
      <c r="B162" s="58" t="s">
        <v>178</v>
      </c>
      <c r="C162" s="33">
        <f>C114</f>
        <v>169.70562748477141</v>
      </c>
      <c r="D162" s="37" t="s">
        <v>111</v>
      </c>
      <c r="E162" s="58" t="s">
        <v>179</v>
      </c>
      <c r="F162" s="33">
        <f>C162/SQRT(2)</f>
        <v>120</v>
      </c>
      <c r="G162" s="37" t="s">
        <v>111</v>
      </c>
    </row>
    <row r="163" spans="2:10" ht="15.75" hidden="1">
      <c r="B163" s="58" t="s">
        <v>177</v>
      </c>
      <c r="C163" s="120" t="e">
        <f ca="1">E114</f>
        <v>#NAME?</v>
      </c>
      <c r="D163" s="37" t="s">
        <v>122</v>
      </c>
      <c r="E163" s="58"/>
      <c r="F163" s="33"/>
    </row>
    <row r="164" spans="2:10" ht="15.75" hidden="1">
      <c r="B164" s="58" t="s">
        <v>176</v>
      </c>
      <c r="C164" s="47" t="e">
        <f ca="1">G114</f>
        <v>#NAME?</v>
      </c>
      <c r="D164" s="37" t="s">
        <v>114</v>
      </c>
      <c r="E164" s="58"/>
      <c r="F164" s="33"/>
    </row>
    <row r="165" spans="2:10" hidden="1">
      <c r="B165" s="58" t="s">
        <v>49</v>
      </c>
      <c r="C165" s="120" t="b">
        <f>IF($B$48&gt;C162,TRUE,FALSE)</f>
        <v>0</v>
      </c>
      <c r="E165" s="58"/>
      <c r="F165" s="33"/>
    </row>
    <row r="166" spans="2:10" ht="15.75" hidden="1">
      <c r="B166" s="58" t="s">
        <v>175</v>
      </c>
      <c r="C166" s="120">
        <f>IF(C165=TRUE, (2*$B$32/(SQRT(C162+$B$48)))+$B$33,(2*$B$32/(SQRT(C162+$B$48)+SQRT(C162-$B$48)))+$B$33)</f>
        <v>1.2925235023622372E-10</v>
      </c>
      <c r="D166" s="37" t="s">
        <v>116</v>
      </c>
      <c r="E166" s="58"/>
      <c r="F166" s="33"/>
    </row>
    <row r="167" spans="2:10" ht="38.25" hidden="1">
      <c r="B167" s="80" t="s">
        <v>50</v>
      </c>
      <c r="C167" s="120">
        <f>SQRT($B$43*C166)</f>
        <v>1.6679798676347133E-8</v>
      </c>
      <c r="D167" s="37" t="s">
        <v>114</v>
      </c>
    </row>
    <row r="168" spans="2:10" ht="25.5" hidden="1">
      <c r="B168" s="80" t="s">
        <v>51</v>
      </c>
      <c r="C168" s="47">
        <f>1/(2*PI()*SQRT($B$44*C166))</f>
        <v>1490175.431258366</v>
      </c>
      <c r="D168" s="37" t="s">
        <v>112</v>
      </c>
    </row>
    <row r="169" spans="2:10" ht="41.25" hidden="1">
      <c r="B169" s="80" t="s">
        <v>174</v>
      </c>
      <c r="C169" s="120">
        <f>IF(C165=TRUE,(1/(2*PI()*C168))*ACOS(-C162/$B$48),1/(2*C168))</f>
        <v>3.3553096468499633E-7</v>
      </c>
      <c r="D169" s="37" t="s">
        <v>114</v>
      </c>
    </row>
    <row r="170" spans="2:10" ht="28.5" hidden="1">
      <c r="B170" s="80" t="s">
        <v>173</v>
      </c>
      <c r="C170" s="120">
        <f>IF(C165=TRUE,-($B$48*SQRT((C166/$B$42)*(1-((C162/$B$48)^2)))),0)</f>
        <v>0</v>
      </c>
      <c r="D170" s="37" t="s">
        <v>122</v>
      </c>
    </row>
    <row r="171" spans="2:10" ht="31.5" hidden="1">
      <c r="B171" s="80" t="s">
        <v>172</v>
      </c>
      <c r="C171" s="120">
        <f>IF(C165=TRUE,0,(C162-$B$48))</f>
        <v>123.35062748477142</v>
      </c>
      <c r="D171" s="37" t="s">
        <v>111</v>
      </c>
    </row>
    <row r="172" spans="2:10" hidden="1">
      <c r="B172" s="80" t="s">
        <v>32</v>
      </c>
      <c r="C172" s="120">
        <f>IF(C165=TRUE,($B$42/C162)*(-C170),0)</f>
        <v>0</v>
      </c>
      <c r="D172" s="37" t="s">
        <v>114</v>
      </c>
    </row>
    <row r="173" spans="2:10" ht="28.5" hidden="1">
      <c r="B173" s="80" t="s">
        <v>171</v>
      </c>
      <c r="C173" s="47">
        <f>AF114*$B$55</f>
        <v>0.14819025485762935</v>
      </c>
      <c r="D173" s="121" t="s">
        <v>111</v>
      </c>
      <c r="E173" s="122"/>
    </row>
    <row r="174" spans="2:10" ht="41.25" hidden="1">
      <c r="B174" s="80" t="s">
        <v>170</v>
      </c>
      <c r="C174" s="47">
        <f>($B$76-C173)/$B$54</f>
        <v>2.3315717142812096</v>
      </c>
      <c r="D174" s="121" t="s">
        <v>122</v>
      </c>
      <c r="E174" s="122"/>
    </row>
    <row r="175" spans="2:10" ht="25.5" hidden="1">
      <c r="B175" s="80" t="s">
        <v>90</v>
      </c>
      <c r="C175" s="123">
        <f>(1/2)*B44*(C174^2)*B71</f>
        <v>9.595211864178868</v>
      </c>
      <c r="D175" s="121" t="s">
        <v>107</v>
      </c>
      <c r="E175" s="122"/>
    </row>
    <row r="176" spans="2:10" hidden="1">
      <c r="B176" s="80"/>
      <c r="C176" s="33"/>
      <c r="D176" s="122"/>
      <c r="E176" s="122"/>
    </row>
    <row r="177" spans="2:28">
      <c r="B177" s="80"/>
    </row>
    <row r="178" spans="2:28" ht="14.25">
      <c r="B178" s="153" t="s">
        <v>163</v>
      </c>
      <c r="C178" s="96" t="s">
        <v>52</v>
      </c>
      <c r="D178" s="96" t="s">
        <v>164</v>
      </c>
      <c r="E178" s="153" t="s">
        <v>56</v>
      </c>
      <c r="F178" s="96" t="s">
        <v>165</v>
      </c>
      <c r="G178" s="96" t="s">
        <v>166</v>
      </c>
      <c r="H178" s="96" t="s">
        <v>167</v>
      </c>
      <c r="I178" s="96" t="s">
        <v>168</v>
      </c>
      <c r="J178" s="96" t="s">
        <v>169</v>
      </c>
      <c r="K178" s="129"/>
      <c r="L178" s="129"/>
      <c r="M178" s="129"/>
      <c r="N178" s="129"/>
      <c r="O178" s="129"/>
      <c r="P178" s="129"/>
      <c r="Q178" s="129"/>
      <c r="R178" s="129"/>
      <c r="S178" s="129"/>
      <c r="T178" s="129"/>
      <c r="U178" s="129"/>
      <c r="V178" s="129"/>
      <c r="W178" s="129"/>
      <c r="X178" s="129"/>
      <c r="Y178" s="129"/>
      <c r="Z178" s="129"/>
      <c r="AA178" s="129"/>
      <c r="AB178" s="129"/>
    </row>
    <row r="179" spans="2:28" s="97" customFormat="1">
      <c r="B179" s="153"/>
      <c r="C179" s="96" t="s">
        <v>107</v>
      </c>
      <c r="D179" s="96" t="s">
        <v>107</v>
      </c>
      <c r="E179" s="153"/>
      <c r="F179" s="96" t="s">
        <v>122</v>
      </c>
      <c r="G179" s="96" t="s">
        <v>112</v>
      </c>
      <c r="H179" s="96" t="s">
        <v>114</v>
      </c>
      <c r="I179" s="96" t="s">
        <v>111</v>
      </c>
      <c r="J179" s="96" t="s">
        <v>111</v>
      </c>
      <c r="K179" s="124" t="s">
        <v>35</v>
      </c>
      <c r="L179" s="124" t="s">
        <v>36</v>
      </c>
      <c r="M179" s="124" t="s">
        <v>38</v>
      </c>
      <c r="N179" s="124" t="s">
        <v>39</v>
      </c>
      <c r="O179" s="124" t="s">
        <v>40</v>
      </c>
      <c r="P179" s="124" t="s">
        <v>14</v>
      </c>
      <c r="Q179" s="124" t="s">
        <v>15</v>
      </c>
      <c r="R179" s="124" t="s">
        <v>41</v>
      </c>
      <c r="S179" s="124" t="s">
        <v>42</v>
      </c>
      <c r="T179" s="124" t="s">
        <v>54</v>
      </c>
      <c r="U179" s="124" t="s">
        <v>55</v>
      </c>
      <c r="V179" s="124" t="s">
        <v>58</v>
      </c>
      <c r="W179" s="124" t="s">
        <v>57</v>
      </c>
      <c r="X179" s="124" t="s">
        <v>81</v>
      </c>
      <c r="Y179" s="124" t="s">
        <v>60</v>
      </c>
      <c r="Z179" s="124" t="s">
        <v>84</v>
      </c>
      <c r="AA179" s="124" t="s">
        <v>59</v>
      </c>
      <c r="AB179" s="124" t="s">
        <v>46</v>
      </c>
    </row>
    <row r="180" spans="2:28">
      <c r="B180" s="97">
        <v>1</v>
      </c>
      <c r="C180" s="33">
        <f t="shared" ref="C180:C200" si="58">$B$8*B180</f>
        <v>52</v>
      </c>
      <c r="D180" s="35">
        <f t="shared" ref="D180:D200" si="59">C180/$B$10</f>
        <v>65</v>
      </c>
      <c r="E180" s="125" t="e">
        <f t="shared" ref="E180:E200" ca="1" si="60">ModeCheck(X180,W180,Y180,$B$76,$B$70)</f>
        <v>#NAME?</v>
      </c>
      <c r="F180" s="35" t="e">
        <f t="shared" ref="F180:F199" ca="1" si="61">IF(E180="QR",T180,IF(E180="DCM",SQRT(2*D180/($B$44*$B$70)),$C$174))</f>
        <v>#NAME?</v>
      </c>
      <c r="G180" s="36" t="e">
        <f t="shared" ref="G180:G200" ca="1" si="62">1/AA180</f>
        <v>#NAME?</v>
      </c>
      <c r="H180" s="74" t="e">
        <f t="shared" ref="H180:H200" ca="1" si="63">F180*$B$44/$C$162</f>
        <v>#NAME?</v>
      </c>
      <c r="I180" s="35" t="e">
        <f t="shared" ref="I180:I200" ca="1" si="64">F180*$B$54+$C$173</f>
        <v>#NAME?</v>
      </c>
      <c r="J180" s="35" t="e">
        <f t="shared" ref="J180:J200" ca="1" si="65">IF(E180="FFB",(((1/G180)-$B$79)/$B$78),((I180+$B$65)*$B$64))</f>
        <v>#NAME?</v>
      </c>
      <c r="K180" s="127">
        <f t="shared" ref="K180:K200" si="66">2*D180*(1/$C$162+1/$B$48)</f>
        <v>3.5704763113377407</v>
      </c>
      <c r="L180" s="127">
        <f t="shared" ref="L180:L200" si="67">K180*$B$44*(1/$C$162+1/$B$48)</f>
        <v>8.6543803225360686E-6</v>
      </c>
      <c r="M180" s="127">
        <f t="shared" ref="M180:M200" si="68">($C$162+$B$48)*$C$166/K180</f>
        <v>7.8214617493028126E-9</v>
      </c>
      <c r="N180" s="127">
        <f>$C$169+$C$172+$C$167+M180+L180</f>
        <v>9.0144125476467151E-6</v>
      </c>
      <c r="O180" s="127">
        <f t="shared" ref="O180:O200" si="69">(1/(1+$C$162/$B$48))*N180*$C$162/$B$42</f>
        <v>3.8119875593681773</v>
      </c>
      <c r="P180" s="127">
        <f t="shared" ref="P180:P200" si="70">$B$44/(2*D180)</f>
        <v>6.7886538461538466E-7</v>
      </c>
      <c r="Q180" s="127">
        <f t="shared" ref="Q180:Q200" si="71">-(1/$C$162+1/$B$48)*$B$44</f>
        <v>-2.4238727743564149E-6</v>
      </c>
      <c r="R180" s="127">
        <f>-($C$169+$C$172+$C$167)</f>
        <v>-3.5221076336134348E-7</v>
      </c>
      <c r="S180" s="127">
        <f t="shared" ref="S180:S200" si="72">-($C$162+$B$48)*$C$166</f>
        <v>-2.7926343895919938E-8</v>
      </c>
      <c r="T180" s="127" t="e">
        <f ca="1">Ifind(P180,Q180,R180,S180,K180,O180)</f>
        <v>#NAME?</v>
      </c>
      <c r="U180" s="127" t="e">
        <f t="shared" ref="U180:U200" ca="1" si="73">(1/2)*$B$44*(T180^2)/D180</f>
        <v>#NAME?</v>
      </c>
      <c r="V180" s="127" t="e">
        <f t="shared" ref="V180:V200" ca="1" si="74">T180*$B$44/$C$162</f>
        <v>#NAME?</v>
      </c>
      <c r="W180" s="127" t="e">
        <f ca="1">1/U180</f>
        <v>#NAME?</v>
      </c>
      <c r="X180" s="127" t="e">
        <f t="shared" ref="X180:X200" ca="1" si="75">T180*$B$54+$C$173</f>
        <v>#NAME?</v>
      </c>
      <c r="Y180" s="127">
        <f t="shared" ref="Y180:Y200" si="76">2*D180/(($C$174^2)*$B$44)</f>
        <v>270968.48269775033</v>
      </c>
      <c r="Z180" s="127" t="e">
        <f t="shared" ref="Z180:Z200" ca="1" si="77">F180/$C$120</f>
        <v>#NAME?</v>
      </c>
      <c r="AA180" s="127" t="e">
        <f t="shared" ref="AA180:AA200" ca="1" si="78">(1/2)*$B$44*(F180^2)/D180</f>
        <v>#NAME?</v>
      </c>
      <c r="AB180" s="127" t="e">
        <f t="shared" ref="AB180:AB200" ca="1" si="79">F180*$B$44/$B$48</f>
        <v>#NAME?</v>
      </c>
    </row>
    <row r="181" spans="2:28">
      <c r="B181" s="97">
        <v>0.95</v>
      </c>
      <c r="C181" s="33">
        <f t="shared" si="58"/>
        <v>49.4</v>
      </c>
      <c r="D181" s="35">
        <f t="shared" si="59"/>
        <v>61.749999999999993</v>
      </c>
      <c r="E181" s="125" t="e">
        <f t="shared" ca="1" si="60"/>
        <v>#NAME?</v>
      </c>
      <c r="F181" s="35" t="e">
        <f t="shared" ca="1" si="61"/>
        <v>#NAME?</v>
      </c>
      <c r="G181" s="36" t="e">
        <f t="shared" ca="1" si="62"/>
        <v>#NAME?</v>
      </c>
      <c r="H181" s="74" t="e">
        <f t="shared" ca="1" si="63"/>
        <v>#NAME?</v>
      </c>
      <c r="I181" s="35" t="e">
        <f t="shared" ca="1" si="64"/>
        <v>#NAME?</v>
      </c>
      <c r="J181" s="35" t="e">
        <f t="shared" ca="1" si="65"/>
        <v>#NAME?</v>
      </c>
      <c r="K181" s="127">
        <f t="shared" si="66"/>
        <v>3.3919524957708531</v>
      </c>
      <c r="L181" s="127">
        <f t="shared" si="67"/>
        <v>8.2216613064092639E-6</v>
      </c>
      <c r="M181" s="127">
        <f t="shared" si="68"/>
        <v>8.2331176308450665E-9</v>
      </c>
      <c r="N181" s="127">
        <f t="shared" ref="N181:N200" si="80">$C$169+$C$172+$C$167+M181+L181</f>
        <v>8.5821051874014528E-6</v>
      </c>
      <c r="O181" s="127">
        <f t="shared" si="69"/>
        <v>3.6291747282083198</v>
      </c>
      <c r="P181" s="127">
        <f t="shared" si="70"/>
        <v>7.1459514170040494E-7</v>
      </c>
      <c r="Q181" s="127">
        <f t="shared" si="71"/>
        <v>-2.4238727743564149E-6</v>
      </c>
      <c r="R181" s="127">
        <f t="shared" ref="R181:R200" si="81">-($C$169+$C$172+$C$167)</f>
        <v>-3.5221076336134348E-7</v>
      </c>
      <c r="S181" s="127">
        <f t="shared" si="72"/>
        <v>-2.7926343895919938E-8</v>
      </c>
      <c r="T181" s="127" t="e">
        <f ca="1">Ifind(P181,Q181,R181,S181,K181,O181)</f>
        <v>#NAME?</v>
      </c>
      <c r="U181" s="127" t="e">
        <f t="shared" ca="1" si="73"/>
        <v>#NAME?</v>
      </c>
      <c r="V181" s="127" t="e">
        <f t="shared" ca="1" si="74"/>
        <v>#NAME?</v>
      </c>
      <c r="W181" s="127" t="e">
        <f ca="1">1/U181</f>
        <v>#NAME?</v>
      </c>
      <c r="X181" s="127" t="e">
        <f t="shared" ca="1" si="75"/>
        <v>#NAME?</v>
      </c>
      <c r="Y181" s="127">
        <f t="shared" si="76"/>
        <v>257420.05856286277</v>
      </c>
      <c r="Z181" s="127" t="e">
        <f t="shared" ca="1" si="77"/>
        <v>#NAME?</v>
      </c>
      <c r="AA181" s="127" t="e">
        <f t="shared" ca="1" si="78"/>
        <v>#NAME?</v>
      </c>
      <c r="AB181" s="127" t="e">
        <f t="shared" ca="1" si="79"/>
        <v>#NAME?</v>
      </c>
    </row>
    <row r="182" spans="2:28">
      <c r="B182" s="97">
        <v>0.9</v>
      </c>
      <c r="C182" s="33">
        <f t="shared" si="58"/>
        <v>46.800000000000004</v>
      </c>
      <c r="D182" s="35">
        <f t="shared" si="59"/>
        <v>58.5</v>
      </c>
      <c r="E182" s="125" t="e">
        <f t="shared" ca="1" si="60"/>
        <v>#NAME?</v>
      </c>
      <c r="F182" s="35" t="e">
        <f t="shared" ca="1" si="61"/>
        <v>#NAME?</v>
      </c>
      <c r="G182" s="36" t="e">
        <f t="shared" ca="1" si="62"/>
        <v>#NAME?</v>
      </c>
      <c r="H182" s="74" t="e">
        <f t="shared" ca="1" si="63"/>
        <v>#NAME?</v>
      </c>
      <c r="I182" s="35" t="e">
        <f t="shared" ca="1" si="64"/>
        <v>#NAME?</v>
      </c>
      <c r="J182" s="35" t="e">
        <f t="shared" ca="1" si="65"/>
        <v>#NAME?</v>
      </c>
      <c r="K182" s="127">
        <f t="shared" si="66"/>
        <v>3.2134286802039664</v>
      </c>
      <c r="L182" s="127">
        <f t="shared" si="67"/>
        <v>7.7889422902824609E-6</v>
      </c>
      <c r="M182" s="127">
        <f t="shared" si="68"/>
        <v>8.6905130547809031E-9</v>
      </c>
      <c r="N182" s="127">
        <f t="shared" si="80"/>
        <v>8.1498435666985847E-6</v>
      </c>
      <c r="O182" s="127">
        <f t="shared" si="69"/>
        <v>3.4463812392480406</v>
      </c>
      <c r="P182" s="127">
        <f t="shared" si="70"/>
        <v>7.5429487179487187E-7</v>
      </c>
      <c r="Q182" s="127">
        <f t="shared" si="71"/>
        <v>-2.4238727743564149E-6</v>
      </c>
      <c r="R182" s="127">
        <f t="shared" si="81"/>
        <v>-3.5221076336134348E-7</v>
      </c>
      <c r="S182" s="127">
        <f t="shared" si="72"/>
        <v>-2.7926343895919938E-8</v>
      </c>
      <c r="T182" s="127" t="e">
        <f ca="1">Ifind(P182,Q182,R182,S182,K182,O182)</f>
        <v>#NAME?</v>
      </c>
      <c r="U182" s="127" t="e">
        <f t="shared" ca="1" si="73"/>
        <v>#NAME?</v>
      </c>
      <c r="V182" s="127" t="e">
        <f t="shared" ca="1" si="74"/>
        <v>#NAME?</v>
      </c>
      <c r="W182" s="127" t="e">
        <f ca="1">1/U182</f>
        <v>#NAME?</v>
      </c>
      <c r="X182" s="127" t="e">
        <f t="shared" ca="1" si="75"/>
        <v>#NAME?</v>
      </c>
      <c r="Y182" s="127">
        <f t="shared" si="76"/>
        <v>243871.63442797528</v>
      </c>
      <c r="Z182" s="127" t="e">
        <f t="shared" ca="1" si="77"/>
        <v>#NAME?</v>
      </c>
      <c r="AA182" s="127" t="e">
        <f t="shared" ca="1" si="78"/>
        <v>#NAME?</v>
      </c>
      <c r="AB182" s="127" t="e">
        <f t="shared" ca="1" si="79"/>
        <v>#NAME?</v>
      </c>
    </row>
    <row r="183" spans="2:28">
      <c r="B183" s="97">
        <v>0.85</v>
      </c>
      <c r="C183" s="33">
        <f t="shared" si="58"/>
        <v>44.199999999999996</v>
      </c>
      <c r="D183" s="35">
        <f t="shared" si="59"/>
        <v>55.249999999999993</v>
      </c>
      <c r="E183" s="125" t="e">
        <f t="shared" ca="1" si="60"/>
        <v>#NAME?</v>
      </c>
      <c r="F183" s="35" t="e">
        <f t="shared" ca="1" si="61"/>
        <v>#NAME?</v>
      </c>
      <c r="G183" s="36" t="e">
        <f t="shared" ca="1" si="62"/>
        <v>#NAME?</v>
      </c>
      <c r="H183" s="74" t="e">
        <f t="shared" ca="1" si="63"/>
        <v>#NAME?</v>
      </c>
      <c r="I183" s="35" t="e">
        <f t="shared" ca="1" si="64"/>
        <v>#NAME?</v>
      </c>
      <c r="J183" s="35" t="e">
        <f t="shared" ca="1" si="65"/>
        <v>#NAME?</v>
      </c>
      <c r="K183" s="127">
        <f t="shared" si="66"/>
        <v>3.0349048646370789</v>
      </c>
      <c r="L183" s="127">
        <f t="shared" si="67"/>
        <v>7.356223274155657E-6</v>
      </c>
      <c r="M183" s="127">
        <f t="shared" si="68"/>
        <v>9.2017197050621339E-9</v>
      </c>
      <c r="N183" s="127">
        <f t="shared" si="80"/>
        <v>7.717635757222062E-6</v>
      </c>
      <c r="O183" s="127">
        <f t="shared" si="69"/>
        <v>3.2636105058166778</v>
      </c>
      <c r="P183" s="127">
        <f t="shared" si="70"/>
        <v>7.9866515837104088E-7</v>
      </c>
      <c r="Q183" s="127">
        <f t="shared" si="71"/>
        <v>-2.4238727743564149E-6</v>
      </c>
      <c r="R183" s="127">
        <f t="shared" si="81"/>
        <v>-3.5221076336134348E-7</v>
      </c>
      <c r="S183" s="127">
        <f t="shared" si="72"/>
        <v>-2.7926343895919938E-8</v>
      </c>
      <c r="T183" s="127" t="e">
        <f t="shared" ref="T183:T200" ca="1" si="82">Ifind(P183,Q183,R183,S183,K183,O183)</f>
        <v>#NAME?</v>
      </c>
      <c r="U183" s="127" t="e">
        <f t="shared" ca="1" si="73"/>
        <v>#NAME?</v>
      </c>
      <c r="V183" s="127" t="e">
        <f t="shared" ca="1" si="74"/>
        <v>#NAME?</v>
      </c>
      <c r="W183" s="127" t="e">
        <f t="shared" ref="W183:W200" ca="1" si="83">1/U183</f>
        <v>#NAME?</v>
      </c>
      <c r="X183" s="127" t="e">
        <f t="shared" ca="1" si="75"/>
        <v>#NAME?</v>
      </c>
      <c r="Y183" s="127">
        <f t="shared" si="76"/>
        <v>230323.21029308773</v>
      </c>
      <c r="Z183" s="127" t="e">
        <f t="shared" ca="1" si="77"/>
        <v>#NAME?</v>
      </c>
      <c r="AA183" s="127" t="e">
        <f t="shared" ca="1" si="78"/>
        <v>#NAME?</v>
      </c>
      <c r="AB183" s="127" t="e">
        <f t="shared" ca="1" si="79"/>
        <v>#NAME?</v>
      </c>
    </row>
    <row r="184" spans="2:28">
      <c r="B184" s="97">
        <v>0.8</v>
      </c>
      <c r="C184" s="33">
        <f t="shared" si="58"/>
        <v>41.6</v>
      </c>
      <c r="D184" s="35">
        <f t="shared" si="59"/>
        <v>52</v>
      </c>
      <c r="E184" s="125" t="e">
        <f t="shared" ca="1" si="60"/>
        <v>#NAME?</v>
      </c>
      <c r="F184" s="35" t="e">
        <f t="shared" ca="1" si="61"/>
        <v>#NAME?</v>
      </c>
      <c r="G184" s="36" t="e">
        <f t="shared" ca="1" si="62"/>
        <v>#NAME?</v>
      </c>
      <c r="H184" s="74" t="e">
        <f t="shared" ca="1" si="63"/>
        <v>#NAME?</v>
      </c>
      <c r="I184" s="35" t="e">
        <f t="shared" ca="1" si="64"/>
        <v>#NAME?</v>
      </c>
      <c r="J184" s="35" t="e">
        <f t="shared" ca="1" si="65"/>
        <v>#NAME?</v>
      </c>
      <c r="K184" s="127">
        <f t="shared" si="66"/>
        <v>2.8563810490701922</v>
      </c>
      <c r="L184" s="127">
        <f t="shared" si="67"/>
        <v>6.923504258028854E-6</v>
      </c>
      <c r="M184" s="127">
        <f t="shared" si="68"/>
        <v>9.7768271866285162E-9</v>
      </c>
      <c r="N184" s="127">
        <f t="shared" si="80"/>
        <v>7.2854918485768261E-6</v>
      </c>
      <c r="O184" s="127">
        <f t="shared" si="69"/>
        <v>3.0808667945759023</v>
      </c>
      <c r="P184" s="127">
        <f t="shared" si="70"/>
        <v>8.4858173076923077E-7</v>
      </c>
      <c r="Q184" s="127">
        <f t="shared" si="71"/>
        <v>-2.4238727743564149E-6</v>
      </c>
      <c r="R184" s="127">
        <f t="shared" si="81"/>
        <v>-3.5221076336134348E-7</v>
      </c>
      <c r="S184" s="127">
        <f t="shared" si="72"/>
        <v>-2.7926343895919938E-8</v>
      </c>
      <c r="T184" s="127" t="e">
        <f t="shared" ca="1" si="82"/>
        <v>#NAME?</v>
      </c>
      <c r="U184" s="127" t="e">
        <f t="shared" ca="1" si="73"/>
        <v>#NAME?</v>
      </c>
      <c r="V184" s="127" t="e">
        <f t="shared" ca="1" si="74"/>
        <v>#NAME?</v>
      </c>
      <c r="W184" s="127" t="e">
        <f t="shared" ca="1" si="83"/>
        <v>#NAME?</v>
      </c>
      <c r="X184" s="127" t="e">
        <f t="shared" ca="1" si="75"/>
        <v>#NAME?</v>
      </c>
      <c r="Y184" s="127">
        <f t="shared" si="76"/>
        <v>216774.78615820027</v>
      </c>
      <c r="Z184" s="127" t="e">
        <f t="shared" ca="1" si="77"/>
        <v>#NAME?</v>
      </c>
      <c r="AA184" s="127" t="e">
        <f t="shared" ca="1" si="78"/>
        <v>#NAME?</v>
      </c>
      <c r="AB184" s="127" t="e">
        <f t="shared" ca="1" si="79"/>
        <v>#NAME?</v>
      </c>
    </row>
    <row r="185" spans="2:28">
      <c r="B185" s="97">
        <v>0.75</v>
      </c>
      <c r="C185" s="33">
        <f t="shared" si="58"/>
        <v>39</v>
      </c>
      <c r="D185" s="35">
        <f t="shared" si="59"/>
        <v>48.75</v>
      </c>
      <c r="E185" s="125" t="e">
        <f t="shared" ca="1" si="60"/>
        <v>#NAME?</v>
      </c>
      <c r="F185" s="35" t="e">
        <f t="shared" ca="1" si="61"/>
        <v>#NAME?</v>
      </c>
      <c r="G185" s="36" t="e">
        <f t="shared" ca="1" si="62"/>
        <v>#NAME?</v>
      </c>
      <c r="H185" s="74" t="e">
        <f t="shared" ca="1" si="63"/>
        <v>#NAME?</v>
      </c>
      <c r="I185" s="35" t="e">
        <f t="shared" ca="1" si="64"/>
        <v>#NAME?</v>
      </c>
      <c r="J185" s="35" t="e">
        <f t="shared" ca="1" si="65"/>
        <v>#NAME?</v>
      </c>
      <c r="K185" s="127">
        <f t="shared" si="66"/>
        <v>2.6778572335033055</v>
      </c>
      <c r="L185" s="127">
        <f t="shared" si="67"/>
        <v>6.490785241902051E-6</v>
      </c>
      <c r="M185" s="127">
        <f t="shared" si="68"/>
        <v>1.0428615665737084E-8</v>
      </c>
      <c r="N185" s="127">
        <f t="shared" si="80"/>
        <v>6.8534246209291319E-6</v>
      </c>
      <c r="O185" s="127">
        <f t="shared" si="69"/>
        <v>2.8981555099638303</v>
      </c>
      <c r="P185" s="127">
        <f t="shared" si="70"/>
        <v>9.0515384615384617E-7</v>
      </c>
      <c r="Q185" s="127">
        <f t="shared" si="71"/>
        <v>-2.4238727743564149E-6</v>
      </c>
      <c r="R185" s="127">
        <f t="shared" si="81"/>
        <v>-3.5221076336134348E-7</v>
      </c>
      <c r="S185" s="127">
        <f t="shared" si="72"/>
        <v>-2.7926343895919938E-8</v>
      </c>
      <c r="T185" s="127" t="e">
        <f t="shared" ca="1" si="82"/>
        <v>#NAME?</v>
      </c>
      <c r="U185" s="127" t="e">
        <f t="shared" ca="1" si="73"/>
        <v>#NAME?</v>
      </c>
      <c r="V185" s="127" t="e">
        <f t="shared" ca="1" si="74"/>
        <v>#NAME?</v>
      </c>
      <c r="W185" s="127" t="e">
        <f t="shared" ca="1" si="83"/>
        <v>#NAME?</v>
      </c>
      <c r="X185" s="127" t="e">
        <f t="shared" ca="1" si="75"/>
        <v>#NAME?</v>
      </c>
      <c r="Y185" s="127">
        <f t="shared" si="76"/>
        <v>203226.36202331274</v>
      </c>
      <c r="Z185" s="127" t="e">
        <f t="shared" ca="1" si="77"/>
        <v>#NAME?</v>
      </c>
      <c r="AA185" s="127" t="e">
        <f t="shared" ca="1" si="78"/>
        <v>#NAME?</v>
      </c>
      <c r="AB185" s="127" t="e">
        <f t="shared" ca="1" si="79"/>
        <v>#NAME?</v>
      </c>
    </row>
    <row r="186" spans="2:28">
      <c r="B186" s="97">
        <v>0.7</v>
      </c>
      <c r="C186" s="33">
        <f t="shared" si="58"/>
        <v>36.4</v>
      </c>
      <c r="D186" s="35">
        <f t="shared" si="59"/>
        <v>45.499999999999993</v>
      </c>
      <c r="E186" s="125" t="e">
        <f t="shared" ca="1" si="60"/>
        <v>#NAME?</v>
      </c>
      <c r="F186" s="35" t="e">
        <f t="shared" ca="1" si="61"/>
        <v>#NAME?</v>
      </c>
      <c r="G186" s="36" t="e">
        <f t="shared" ca="1" si="62"/>
        <v>#NAME?</v>
      </c>
      <c r="H186" s="74" t="e">
        <f t="shared" ca="1" si="63"/>
        <v>#NAME?</v>
      </c>
      <c r="I186" s="35" t="e">
        <f t="shared" ca="1" si="64"/>
        <v>#NAME?</v>
      </c>
      <c r="J186" s="35" t="e">
        <f t="shared" ca="1" si="65"/>
        <v>#NAME?</v>
      </c>
      <c r="K186" s="127">
        <f t="shared" si="66"/>
        <v>2.4993334179364179</v>
      </c>
      <c r="L186" s="127">
        <f t="shared" si="67"/>
        <v>6.0580662257752463E-6</v>
      </c>
      <c r="M186" s="127">
        <f t="shared" si="68"/>
        <v>1.1173516784718306E-8</v>
      </c>
      <c r="N186" s="127">
        <f t="shared" si="80"/>
        <v>6.4214505059213082E-6</v>
      </c>
      <c r="O186" s="127">
        <f t="shared" si="69"/>
        <v>2.7154836005437559</v>
      </c>
      <c r="P186" s="127">
        <f t="shared" si="70"/>
        <v>9.6980769230769252E-7</v>
      </c>
      <c r="Q186" s="127">
        <f t="shared" si="71"/>
        <v>-2.4238727743564149E-6</v>
      </c>
      <c r="R186" s="127">
        <f t="shared" si="81"/>
        <v>-3.5221076336134348E-7</v>
      </c>
      <c r="S186" s="127">
        <f t="shared" si="72"/>
        <v>-2.7926343895919938E-8</v>
      </c>
      <c r="T186" s="127" t="e">
        <f t="shared" ca="1" si="82"/>
        <v>#NAME?</v>
      </c>
      <c r="U186" s="127" t="e">
        <f t="shared" ca="1" si="73"/>
        <v>#NAME?</v>
      </c>
      <c r="V186" s="127" t="e">
        <f t="shared" ca="1" si="74"/>
        <v>#NAME?</v>
      </c>
      <c r="W186" s="127" t="e">
        <f t="shared" ca="1" si="83"/>
        <v>#NAME?</v>
      </c>
      <c r="X186" s="127" t="e">
        <f t="shared" ca="1" si="75"/>
        <v>#NAME?</v>
      </c>
      <c r="Y186" s="127">
        <f t="shared" si="76"/>
        <v>189677.93788842519</v>
      </c>
      <c r="Z186" s="127" t="e">
        <f t="shared" ca="1" si="77"/>
        <v>#NAME?</v>
      </c>
      <c r="AA186" s="127" t="e">
        <f t="shared" ca="1" si="78"/>
        <v>#NAME?</v>
      </c>
      <c r="AB186" s="127" t="e">
        <f t="shared" ca="1" si="79"/>
        <v>#NAME?</v>
      </c>
    </row>
    <row r="187" spans="2:28">
      <c r="B187" s="97">
        <v>0.65</v>
      </c>
      <c r="C187" s="33">
        <f t="shared" si="58"/>
        <v>33.800000000000004</v>
      </c>
      <c r="D187" s="35">
        <f t="shared" si="59"/>
        <v>42.25</v>
      </c>
      <c r="E187" s="125" t="e">
        <f t="shared" ca="1" si="60"/>
        <v>#NAME?</v>
      </c>
      <c r="F187" s="35" t="e">
        <f t="shared" ca="1" si="61"/>
        <v>#NAME?</v>
      </c>
      <c r="G187" s="36" t="e">
        <f t="shared" ca="1" si="62"/>
        <v>#NAME?</v>
      </c>
      <c r="H187" s="74" t="e">
        <f t="shared" ca="1" si="63"/>
        <v>#NAME?</v>
      </c>
      <c r="I187" s="35" t="e">
        <f t="shared" ca="1" si="64"/>
        <v>#NAME?</v>
      </c>
      <c r="J187" s="35" t="e">
        <f t="shared" ca="1" si="65"/>
        <v>#NAME?</v>
      </c>
      <c r="K187" s="127">
        <f t="shared" si="66"/>
        <v>2.3208096023695313</v>
      </c>
      <c r="L187" s="127">
        <f t="shared" si="67"/>
        <v>5.6253472096484442E-6</v>
      </c>
      <c r="M187" s="127">
        <f t="shared" si="68"/>
        <v>1.2033018075850482E-8</v>
      </c>
      <c r="N187" s="127">
        <f t="shared" si="80"/>
        <v>5.9895909910856378E-6</v>
      </c>
      <c r="O187" s="127">
        <f t="shared" si="69"/>
        <v>2.5328601528984493</v>
      </c>
      <c r="P187" s="127">
        <f t="shared" si="70"/>
        <v>1.0444082840236687E-6</v>
      </c>
      <c r="Q187" s="127">
        <f t="shared" si="71"/>
        <v>-2.4238727743564149E-6</v>
      </c>
      <c r="R187" s="127">
        <f t="shared" si="81"/>
        <v>-3.5221076336134348E-7</v>
      </c>
      <c r="S187" s="127">
        <f t="shared" si="72"/>
        <v>-2.7926343895919938E-8</v>
      </c>
      <c r="T187" s="127" t="e">
        <f t="shared" ca="1" si="82"/>
        <v>#NAME?</v>
      </c>
      <c r="U187" s="127" t="e">
        <f t="shared" ca="1" si="73"/>
        <v>#NAME?</v>
      </c>
      <c r="V187" s="127" t="e">
        <f t="shared" ca="1" si="74"/>
        <v>#NAME?</v>
      </c>
      <c r="W187" s="127" t="e">
        <f t="shared" ca="1" si="83"/>
        <v>#NAME?</v>
      </c>
      <c r="X187" s="127" t="e">
        <f t="shared" ca="1" si="75"/>
        <v>#NAME?</v>
      </c>
      <c r="Y187" s="127">
        <f t="shared" si="76"/>
        <v>176129.5137535377</v>
      </c>
      <c r="Z187" s="127" t="e">
        <f t="shared" ca="1" si="77"/>
        <v>#NAME?</v>
      </c>
      <c r="AA187" s="127" t="e">
        <f t="shared" ca="1" si="78"/>
        <v>#NAME?</v>
      </c>
      <c r="AB187" s="127" t="e">
        <f t="shared" ca="1" si="79"/>
        <v>#NAME?</v>
      </c>
    </row>
    <row r="188" spans="2:28">
      <c r="B188" s="97">
        <v>0.6</v>
      </c>
      <c r="C188" s="33">
        <f t="shared" si="58"/>
        <v>31.2</v>
      </c>
      <c r="D188" s="35">
        <f t="shared" si="59"/>
        <v>39</v>
      </c>
      <c r="E188" s="125" t="e">
        <f t="shared" ca="1" si="60"/>
        <v>#NAME?</v>
      </c>
      <c r="F188" s="35" t="e">
        <f t="shared" ca="1" si="61"/>
        <v>#NAME?</v>
      </c>
      <c r="G188" s="36" t="e">
        <f t="shared" ca="1" si="62"/>
        <v>#NAME?</v>
      </c>
      <c r="H188" s="74" t="e">
        <f t="shared" ca="1" si="63"/>
        <v>#NAME?</v>
      </c>
      <c r="I188" s="35" t="e">
        <f t="shared" ca="1" si="64"/>
        <v>#NAME?</v>
      </c>
      <c r="J188" s="35" t="e">
        <f t="shared" ca="1" si="65"/>
        <v>#NAME?</v>
      </c>
      <c r="K188" s="127">
        <f t="shared" si="66"/>
        <v>2.1422857868026441</v>
      </c>
      <c r="L188" s="127">
        <f t="shared" si="67"/>
        <v>5.1926281935216403E-6</v>
      </c>
      <c r="M188" s="127">
        <f t="shared" si="68"/>
        <v>1.3035769582171355E-8</v>
      </c>
      <c r="N188" s="127">
        <f t="shared" si="80"/>
        <v>5.5578747264651555E-6</v>
      </c>
      <c r="O188" s="127">
        <f t="shared" si="69"/>
        <v>2.350297282471602</v>
      </c>
      <c r="P188" s="127">
        <f t="shared" si="70"/>
        <v>1.1314423076923077E-6</v>
      </c>
      <c r="Q188" s="127">
        <f t="shared" si="71"/>
        <v>-2.4238727743564149E-6</v>
      </c>
      <c r="R188" s="127">
        <f t="shared" si="81"/>
        <v>-3.5221076336134348E-7</v>
      </c>
      <c r="S188" s="127">
        <f t="shared" si="72"/>
        <v>-2.7926343895919938E-8</v>
      </c>
      <c r="T188" s="127" t="e">
        <f t="shared" ca="1" si="82"/>
        <v>#NAME?</v>
      </c>
      <c r="U188" s="127" t="e">
        <f t="shared" ca="1" si="73"/>
        <v>#NAME?</v>
      </c>
      <c r="V188" s="127" t="e">
        <f t="shared" ca="1" si="74"/>
        <v>#NAME?</v>
      </c>
      <c r="W188" s="127" t="e">
        <f t="shared" ca="1" si="83"/>
        <v>#NAME?</v>
      </c>
      <c r="X188" s="127" t="e">
        <f t="shared" ca="1" si="75"/>
        <v>#NAME?</v>
      </c>
      <c r="Y188" s="127">
        <f t="shared" si="76"/>
        <v>162581.08961865018</v>
      </c>
      <c r="Z188" s="127" t="e">
        <f t="shared" ca="1" si="77"/>
        <v>#NAME?</v>
      </c>
      <c r="AA188" s="127" t="e">
        <f t="shared" ca="1" si="78"/>
        <v>#NAME?</v>
      </c>
      <c r="AB188" s="127" t="e">
        <f t="shared" ca="1" si="79"/>
        <v>#NAME?</v>
      </c>
    </row>
    <row r="189" spans="2:28">
      <c r="B189" s="97">
        <v>0.55000000000000004</v>
      </c>
      <c r="C189" s="33">
        <f t="shared" si="58"/>
        <v>28.6</v>
      </c>
      <c r="D189" s="35">
        <f t="shared" si="59"/>
        <v>35.75</v>
      </c>
      <c r="E189" s="125" t="e">
        <f t="shared" ca="1" si="60"/>
        <v>#NAME?</v>
      </c>
      <c r="F189" s="35" t="e">
        <f t="shared" ca="1" si="61"/>
        <v>#NAME?</v>
      </c>
      <c r="G189" s="36" t="e">
        <f t="shared" ca="1" si="62"/>
        <v>#NAME?</v>
      </c>
      <c r="H189" s="74" t="e">
        <f t="shared" ca="1" si="63"/>
        <v>#NAME?</v>
      </c>
      <c r="I189" s="35" t="e">
        <f t="shared" ca="1" si="64"/>
        <v>#NAME?</v>
      </c>
      <c r="J189" s="35" t="e">
        <f t="shared" ca="1" si="65"/>
        <v>#NAME?</v>
      </c>
      <c r="K189" s="127">
        <f t="shared" si="66"/>
        <v>1.9637619712357572</v>
      </c>
      <c r="L189" s="127">
        <f t="shared" si="67"/>
        <v>4.7599091773948373E-6</v>
      </c>
      <c r="M189" s="127">
        <f t="shared" si="68"/>
        <v>1.4220839544186933E-8</v>
      </c>
      <c r="N189" s="127">
        <f t="shared" si="80"/>
        <v>5.1263407803003677E-6</v>
      </c>
      <c r="O189" s="127">
        <f t="shared" si="69"/>
        <v>2.167811510322792</v>
      </c>
      <c r="P189" s="127">
        <f t="shared" si="70"/>
        <v>1.2343006993006993E-6</v>
      </c>
      <c r="Q189" s="127">
        <f t="shared" si="71"/>
        <v>-2.4238727743564149E-6</v>
      </c>
      <c r="R189" s="127">
        <f t="shared" si="81"/>
        <v>-3.5221076336134348E-7</v>
      </c>
      <c r="S189" s="127">
        <f t="shared" si="72"/>
        <v>-2.7926343895919938E-8</v>
      </c>
      <c r="T189" s="127" t="e">
        <f t="shared" ca="1" si="82"/>
        <v>#NAME?</v>
      </c>
      <c r="U189" s="127" t="e">
        <f t="shared" ca="1" si="73"/>
        <v>#NAME?</v>
      </c>
      <c r="V189" s="127" t="e">
        <f t="shared" ca="1" si="74"/>
        <v>#NAME?</v>
      </c>
      <c r="W189" s="127" t="e">
        <f t="shared" ca="1" si="83"/>
        <v>#NAME?</v>
      </c>
      <c r="X189" s="127" t="e">
        <f t="shared" ca="1" si="75"/>
        <v>#NAME?</v>
      </c>
      <c r="Y189" s="127">
        <f t="shared" si="76"/>
        <v>149032.66548376268</v>
      </c>
      <c r="Z189" s="127" t="e">
        <f t="shared" ca="1" si="77"/>
        <v>#NAME?</v>
      </c>
      <c r="AA189" s="127" t="e">
        <f t="shared" ca="1" si="78"/>
        <v>#NAME?</v>
      </c>
      <c r="AB189" s="127" t="e">
        <f t="shared" ca="1" si="79"/>
        <v>#NAME?</v>
      </c>
    </row>
    <row r="190" spans="2:28">
      <c r="B190" s="97">
        <v>0.5</v>
      </c>
      <c r="C190" s="33">
        <f t="shared" si="58"/>
        <v>26</v>
      </c>
      <c r="D190" s="35">
        <f t="shared" si="59"/>
        <v>32.5</v>
      </c>
      <c r="E190" s="125" t="e">
        <f t="shared" ca="1" si="60"/>
        <v>#NAME?</v>
      </c>
      <c r="F190" s="35" t="e">
        <f t="shared" ca="1" si="61"/>
        <v>#NAME?</v>
      </c>
      <c r="G190" s="36" t="e">
        <f t="shared" ca="1" si="62"/>
        <v>#NAME?</v>
      </c>
      <c r="H190" s="74" t="e">
        <f t="shared" ca="1" si="63"/>
        <v>#NAME?</v>
      </c>
      <c r="I190" s="35" t="e">
        <f t="shared" ca="1" si="64"/>
        <v>#NAME?</v>
      </c>
      <c r="J190" s="35" t="e">
        <f t="shared" ca="1" si="65"/>
        <v>#NAME?</v>
      </c>
      <c r="K190" s="127">
        <f t="shared" si="66"/>
        <v>1.7852381556688703</v>
      </c>
      <c r="L190" s="127">
        <f t="shared" si="67"/>
        <v>4.3271901612680343E-6</v>
      </c>
      <c r="M190" s="127">
        <f t="shared" si="68"/>
        <v>1.5642923498605625E-8</v>
      </c>
      <c r="N190" s="127">
        <f t="shared" si="80"/>
        <v>4.695043848127983E-6</v>
      </c>
      <c r="O190" s="127">
        <f t="shared" si="69"/>
        <v>1.9854259659354323</v>
      </c>
      <c r="P190" s="127">
        <f t="shared" si="70"/>
        <v>1.3577307692307693E-6</v>
      </c>
      <c r="Q190" s="127">
        <f t="shared" si="71"/>
        <v>-2.4238727743564149E-6</v>
      </c>
      <c r="R190" s="127">
        <f t="shared" si="81"/>
        <v>-3.5221076336134348E-7</v>
      </c>
      <c r="S190" s="127">
        <f t="shared" si="72"/>
        <v>-2.7926343895919938E-8</v>
      </c>
      <c r="T190" s="127" t="e">
        <f t="shared" ca="1" si="82"/>
        <v>#NAME?</v>
      </c>
      <c r="U190" s="127" t="e">
        <f t="shared" ca="1" si="73"/>
        <v>#NAME?</v>
      </c>
      <c r="V190" s="127" t="e">
        <f t="shared" ca="1" si="74"/>
        <v>#NAME?</v>
      </c>
      <c r="W190" s="127" t="e">
        <f t="shared" ca="1" si="83"/>
        <v>#NAME?</v>
      </c>
      <c r="X190" s="127" t="e">
        <f t="shared" ca="1" si="75"/>
        <v>#NAME?</v>
      </c>
      <c r="Y190" s="127">
        <f t="shared" si="76"/>
        <v>135484.24134887516</v>
      </c>
      <c r="Z190" s="127" t="e">
        <f t="shared" ca="1" si="77"/>
        <v>#NAME?</v>
      </c>
      <c r="AA190" s="127" t="e">
        <f t="shared" ca="1" si="78"/>
        <v>#NAME?</v>
      </c>
      <c r="AB190" s="127" t="e">
        <f t="shared" ca="1" si="79"/>
        <v>#NAME?</v>
      </c>
    </row>
    <row r="191" spans="2:28">
      <c r="B191" s="97">
        <v>0.45</v>
      </c>
      <c r="C191" s="33">
        <f t="shared" si="58"/>
        <v>23.400000000000002</v>
      </c>
      <c r="D191" s="35">
        <f t="shared" si="59"/>
        <v>29.25</v>
      </c>
      <c r="E191" s="125" t="e">
        <f t="shared" ca="1" si="60"/>
        <v>#NAME?</v>
      </c>
      <c r="F191" s="35" t="e">
        <f t="shared" ca="1" si="61"/>
        <v>#NAME?</v>
      </c>
      <c r="G191" s="36" t="e">
        <f t="shared" ca="1" si="62"/>
        <v>#NAME?</v>
      </c>
      <c r="H191" s="74" t="e">
        <f t="shared" ca="1" si="63"/>
        <v>#NAME?</v>
      </c>
      <c r="I191" s="35" t="e">
        <f t="shared" ca="1" si="64"/>
        <v>#NAME?</v>
      </c>
      <c r="J191" s="35" t="e">
        <f t="shared" ca="1" si="65"/>
        <v>#NAME?</v>
      </c>
      <c r="K191" s="127">
        <f t="shared" si="66"/>
        <v>1.6067143401019832</v>
      </c>
      <c r="L191" s="127">
        <f t="shared" si="67"/>
        <v>3.8944711451412304E-6</v>
      </c>
      <c r="M191" s="127">
        <f t="shared" si="68"/>
        <v>1.7381026109561806E-8</v>
      </c>
      <c r="N191" s="127">
        <f t="shared" si="80"/>
        <v>4.2640629346121354E-6</v>
      </c>
      <c r="O191" s="127">
        <f t="shared" si="69"/>
        <v>1.8031740585633396</v>
      </c>
      <c r="P191" s="127">
        <f t="shared" si="70"/>
        <v>1.5085897435897437E-6</v>
      </c>
      <c r="Q191" s="127">
        <f t="shared" si="71"/>
        <v>-2.4238727743564149E-6</v>
      </c>
      <c r="R191" s="127">
        <f t="shared" si="81"/>
        <v>-3.5221076336134348E-7</v>
      </c>
      <c r="S191" s="127">
        <f t="shared" si="72"/>
        <v>-2.7926343895919938E-8</v>
      </c>
      <c r="T191" s="127" t="e">
        <f t="shared" ca="1" si="82"/>
        <v>#NAME?</v>
      </c>
      <c r="U191" s="127" t="e">
        <f t="shared" ca="1" si="73"/>
        <v>#NAME?</v>
      </c>
      <c r="V191" s="127" t="e">
        <f t="shared" ca="1" si="74"/>
        <v>#NAME?</v>
      </c>
      <c r="W191" s="127" t="e">
        <f t="shared" ca="1" si="83"/>
        <v>#NAME?</v>
      </c>
      <c r="X191" s="127" t="e">
        <f t="shared" ca="1" si="75"/>
        <v>#NAME?</v>
      </c>
      <c r="Y191" s="127">
        <f t="shared" si="76"/>
        <v>121935.81721398764</v>
      </c>
      <c r="Z191" s="127" t="e">
        <f t="shared" ca="1" si="77"/>
        <v>#NAME?</v>
      </c>
      <c r="AA191" s="127" t="e">
        <f t="shared" ca="1" si="78"/>
        <v>#NAME?</v>
      </c>
      <c r="AB191" s="127" t="e">
        <f t="shared" ca="1" si="79"/>
        <v>#NAME?</v>
      </c>
    </row>
    <row r="192" spans="2:28">
      <c r="B192" s="97">
        <v>0.4</v>
      </c>
      <c r="C192" s="33">
        <f t="shared" si="58"/>
        <v>20.8</v>
      </c>
      <c r="D192" s="35">
        <f t="shared" si="59"/>
        <v>26</v>
      </c>
      <c r="E192" s="125" t="e">
        <f t="shared" ca="1" si="60"/>
        <v>#NAME?</v>
      </c>
      <c r="F192" s="35" t="e">
        <f t="shared" ca="1" si="61"/>
        <v>#NAME?</v>
      </c>
      <c r="G192" s="36" t="e">
        <f t="shared" ca="1" si="62"/>
        <v>#NAME?</v>
      </c>
      <c r="H192" s="74" t="e">
        <f t="shared" ca="1" si="63"/>
        <v>#NAME?</v>
      </c>
      <c r="I192" s="35" t="e">
        <f t="shared" ca="1" si="64"/>
        <v>#NAME?</v>
      </c>
      <c r="J192" s="35" t="e">
        <f t="shared" ca="1" si="65"/>
        <v>#NAME?</v>
      </c>
      <c r="K192" s="127">
        <f t="shared" si="66"/>
        <v>1.4281905245350961</v>
      </c>
      <c r="L192" s="127">
        <f t="shared" si="67"/>
        <v>3.461752129014427E-6</v>
      </c>
      <c r="M192" s="127">
        <f t="shared" si="68"/>
        <v>1.9553654373257032E-8</v>
      </c>
      <c r="N192" s="127">
        <f t="shared" si="80"/>
        <v>3.8335165467490273E-6</v>
      </c>
      <c r="O192" s="127">
        <f t="shared" si="69"/>
        <v>1.6211059020872383</v>
      </c>
      <c r="P192" s="127">
        <f t="shared" si="70"/>
        <v>1.6971634615384615E-6</v>
      </c>
      <c r="Q192" s="127">
        <f t="shared" si="71"/>
        <v>-2.4238727743564149E-6</v>
      </c>
      <c r="R192" s="127">
        <f t="shared" si="81"/>
        <v>-3.5221076336134348E-7</v>
      </c>
      <c r="S192" s="127">
        <f t="shared" si="72"/>
        <v>-2.7926343895919938E-8</v>
      </c>
      <c r="T192" s="127" t="e">
        <f t="shared" ca="1" si="82"/>
        <v>#NAME?</v>
      </c>
      <c r="U192" s="127" t="e">
        <f t="shared" ca="1" si="73"/>
        <v>#NAME?</v>
      </c>
      <c r="V192" s="127" t="e">
        <f t="shared" ca="1" si="74"/>
        <v>#NAME?</v>
      </c>
      <c r="W192" s="127" t="e">
        <f t="shared" ca="1" si="83"/>
        <v>#NAME?</v>
      </c>
      <c r="X192" s="127" t="e">
        <f t="shared" ca="1" si="75"/>
        <v>#NAME?</v>
      </c>
      <c r="Y192" s="127">
        <f t="shared" si="76"/>
        <v>108387.39307910013</v>
      </c>
      <c r="Z192" s="127" t="e">
        <f t="shared" ca="1" si="77"/>
        <v>#NAME?</v>
      </c>
      <c r="AA192" s="127" t="e">
        <f t="shared" ca="1" si="78"/>
        <v>#NAME?</v>
      </c>
      <c r="AB192" s="127" t="e">
        <f t="shared" ca="1" si="79"/>
        <v>#NAME?</v>
      </c>
    </row>
    <row r="193" spans="2:28">
      <c r="B193" s="97">
        <v>0.35</v>
      </c>
      <c r="C193" s="33">
        <f t="shared" si="58"/>
        <v>18.2</v>
      </c>
      <c r="D193" s="35">
        <f t="shared" si="59"/>
        <v>22.749999999999996</v>
      </c>
      <c r="E193" s="125" t="e">
        <f t="shared" ca="1" si="60"/>
        <v>#NAME?</v>
      </c>
      <c r="F193" s="35" t="e">
        <f t="shared" ca="1" si="61"/>
        <v>#NAME?</v>
      </c>
      <c r="G193" s="36" t="e">
        <f t="shared" ca="1" si="62"/>
        <v>#NAME?</v>
      </c>
      <c r="H193" s="74" t="e">
        <f t="shared" ca="1" si="63"/>
        <v>#NAME?</v>
      </c>
      <c r="I193" s="35" t="e">
        <f t="shared" ca="1" si="64"/>
        <v>#NAME?</v>
      </c>
      <c r="J193" s="35" t="e">
        <f t="shared" ca="1" si="65"/>
        <v>#NAME?</v>
      </c>
      <c r="K193" s="127">
        <f t="shared" si="66"/>
        <v>1.249666708968209</v>
      </c>
      <c r="L193" s="127">
        <f t="shared" si="67"/>
        <v>3.0290331128876232E-6</v>
      </c>
      <c r="M193" s="127">
        <f t="shared" si="68"/>
        <v>2.2347033569436612E-8</v>
      </c>
      <c r="N193" s="127">
        <f t="shared" si="80"/>
        <v>3.4035909098184031E-6</v>
      </c>
      <c r="O193" s="127">
        <f t="shared" si="69"/>
        <v>1.4393002468911242</v>
      </c>
      <c r="P193" s="127">
        <f t="shared" si="70"/>
        <v>1.939615384615385E-6</v>
      </c>
      <c r="Q193" s="127">
        <f t="shared" si="71"/>
        <v>-2.4238727743564149E-6</v>
      </c>
      <c r="R193" s="127">
        <f t="shared" si="81"/>
        <v>-3.5221076336134348E-7</v>
      </c>
      <c r="S193" s="127">
        <f t="shared" si="72"/>
        <v>-2.7926343895919938E-8</v>
      </c>
      <c r="T193" s="127" t="e">
        <f t="shared" ca="1" si="82"/>
        <v>#NAME?</v>
      </c>
      <c r="U193" s="127" t="e">
        <f t="shared" ca="1" si="73"/>
        <v>#NAME?</v>
      </c>
      <c r="V193" s="127" t="e">
        <f t="shared" ca="1" si="74"/>
        <v>#NAME?</v>
      </c>
      <c r="W193" s="127" t="e">
        <f t="shared" ca="1" si="83"/>
        <v>#NAME?</v>
      </c>
      <c r="X193" s="127" t="e">
        <f t="shared" ca="1" si="75"/>
        <v>#NAME?</v>
      </c>
      <c r="Y193" s="127">
        <f t="shared" si="76"/>
        <v>94838.968944212596</v>
      </c>
      <c r="Z193" s="127" t="e">
        <f t="shared" ca="1" si="77"/>
        <v>#NAME?</v>
      </c>
      <c r="AA193" s="127" t="e">
        <f t="shared" ca="1" si="78"/>
        <v>#NAME?</v>
      </c>
      <c r="AB193" s="127" t="e">
        <f t="shared" ca="1" si="79"/>
        <v>#NAME?</v>
      </c>
    </row>
    <row r="194" spans="2:28">
      <c r="B194" s="97">
        <v>0.3</v>
      </c>
      <c r="C194" s="33">
        <f t="shared" si="58"/>
        <v>15.6</v>
      </c>
      <c r="D194" s="35">
        <f t="shared" si="59"/>
        <v>19.5</v>
      </c>
      <c r="E194" s="125" t="e">
        <f t="shared" ca="1" si="60"/>
        <v>#NAME?</v>
      </c>
      <c r="F194" s="35" t="e">
        <f t="shared" ca="1" si="61"/>
        <v>#NAME?</v>
      </c>
      <c r="G194" s="36" t="e">
        <f t="shared" ca="1" si="62"/>
        <v>#NAME?</v>
      </c>
      <c r="H194" s="74" t="e">
        <f t="shared" ca="1" si="63"/>
        <v>#NAME?</v>
      </c>
      <c r="I194" s="35" t="e">
        <f t="shared" ca="1" si="64"/>
        <v>#NAME?</v>
      </c>
      <c r="J194" s="35" t="e">
        <f t="shared" ca="1" si="65"/>
        <v>#NAME?</v>
      </c>
      <c r="K194" s="127">
        <f t="shared" si="66"/>
        <v>1.0711428934013221</v>
      </c>
      <c r="L194" s="127">
        <f t="shared" si="67"/>
        <v>2.5963140967608202E-6</v>
      </c>
      <c r="M194" s="127">
        <f t="shared" si="68"/>
        <v>2.6071539164342711E-8</v>
      </c>
      <c r="N194" s="127">
        <f t="shared" si="80"/>
        <v>2.9745963992865064E-6</v>
      </c>
      <c r="O194" s="127">
        <f t="shared" si="69"/>
        <v>1.257888343614993</v>
      </c>
      <c r="P194" s="127">
        <f t="shared" si="70"/>
        <v>2.2628846153846154E-6</v>
      </c>
      <c r="Q194" s="127">
        <f t="shared" si="71"/>
        <v>-2.4238727743564149E-6</v>
      </c>
      <c r="R194" s="127">
        <f t="shared" si="81"/>
        <v>-3.5221076336134348E-7</v>
      </c>
      <c r="S194" s="127">
        <f t="shared" si="72"/>
        <v>-2.7926343895919938E-8</v>
      </c>
      <c r="T194" s="127" t="e">
        <f t="shared" ca="1" si="82"/>
        <v>#NAME?</v>
      </c>
      <c r="U194" s="127" t="e">
        <f t="shared" ca="1" si="73"/>
        <v>#NAME?</v>
      </c>
      <c r="V194" s="127" t="e">
        <f t="shared" ca="1" si="74"/>
        <v>#NAME?</v>
      </c>
      <c r="W194" s="127" t="e">
        <f t="shared" ca="1" si="83"/>
        <v>#NAME?</v>
      </c>
      <c r="X194" s="127" t="e">
        <f t="shared" ca="1" si="75"/>
        <v>#NAME?</v>
      </c>
      <c r="Y194" s="127">
        <f t="shared" si="76"/>
        <v>81290.544809325089</v>
      </c>
      <c r="Z194" s="127" t="e">
        <f t="shared" ca="1" si="77"/>
        <v>#NAME?</v>
      </c>
      <c r="AA194" s="127" t="e">
        <f t="shared" ca="1" si="78"/>
        <v>#NAME?</v>
      </c>
      <c r="AB194" s="127" t="e">
        <f t="shared" ca="1" si="79"/>
        <v>#NAME?</v>
      </c>
    </row>
    <row r="195" spans="2:28">
      <c r="B195" s="97">
        <v>0.25</v>
      </c>
      <c r="C195" s="33">
        <f t="shared" si="58"/>
        <v>13</v>
      </c>
      <c r="D195" s="35">
        <f t="shared" si="59"/>
        <v>16.25</v>
      </c>
      <c r="E195" s="125" t="e">
        <f t="shared" ca="1" si="60"/>
        <v>#NAME?</v>
      </c>
      <c r="F195" s="35" t="e">
        <f t="shared" ca="1" si="61"/>
        <v>#NAME?</v>
      </c>
      <c r="G195" s="36" t="e">
        <f t="shared" ca="1" si="62"/>
        <v>#NAME?</v>
      </c>
      <c r="H195" s="74" t="e">
        <f t="shared" ca="1" si="63"/>
        <v>#NAME?</v>
      </c>
      <c r="I195" s="35" t="e">
        <f t="shared" ca="1" si="64"/>
        <v>#NAME?</v>
      </c>
      <c r="J195" s="35" t="e">
        <f t="shared" ca="1" si="65"/>
        <v>#NAME?</v>
      </c>
      <c r="K195" s="127">
        <f t="shared" si="66"/>
        <v>0.89261907783443517</v>
      </c>
      <c r="L195" s="127">
        <f t="shared" si="67"/>
        <v>2.1635950806340171E-6</v>
      </c>
      <c r="M195" s="127">
        <f t="shared" si="68"/>
        <v>3.128584699721125E-8</v>
      </c>
      <c r="N195" s="127">
        <f t="shared" si="80"/>
        <v>2.5470916909925717E-6</v>
      </c>
      <c r="O195" s="127">
        <f t="shared" si="69"/>
        <v>1.0771064434108326</v>
      </c>
      <c r="P195" s="127">
        <f t="shared" si="70"/>
        <v>2.7154615384615386E-6</v>
      </c>
      <c r="Q195" s="127">
        <f t="shared" si="71"/>
        <v>-2.4238727743564149E-6</v>
      </c>
      <c r="R195" s="127">
        <f t="shared" si="81"/>
        <v>-3.5221076336134348E-7</v>
      </c>
      <c r="S195" s="127">
        <f t="shared" si="72"/>
        <v>-2.7926343895919938E-8</v>
      </c>
      <c r="T195" s="127" t="e">
        <f t="shared" ca="1" si="82"/>
        <v>#NAME?</v>
      </c>
      <c r="U195" s="127" t="e">
        <f t="shared" ca="1" si="73"/>
        <v>#NAME?</v>
      </c>
      <c r="V195" s="127" t="e">
        <f t="shared" ca="1" si="74"/>
        <v>#NAME?</v>
      </c>
      <c r="W195" s="127" t="e">
        <f t="shared" ca="1" si="83"/>
        <v>#NAME?</v>
      </c>
      <c r="X195" s="127" t="e">
        <f t="shared" ca="1" si="75"/>
        <v>#NAME?</v>
      </c>
      <c r="Y195" s="127">
        <f t="shared" si="76"/>
        <v>67742.120674437581</v>
      </c>
      <c r="Z195" s="127" t="e">
        <f t="shared" ca="1" si="77"/>
        <v>#NAME?</v>
      </c>
      <c r="AA195" s="127" t="e">
        <f t="shared" ca="1" si="78"/>
        <v>#NAME?</v>
      </c>
      <c r="AB195" s="127" t="e">
        <f t="shared" ca="1" si="79"/>
        <v>#NAME?</v>
      </c>
    </row>
    <row r="196" spans="2:28">
      <c r="B196" s="97">
        <v>0.2</v>
      </c>
      <c r="C196" s="33">
        <f t="shared" si="58"/>
        <v>10.4</v>
      </c>
      <c r="D196" s="35">
        <f t="shared" si="59"/>
        <v>13</v>
      </c>
      <c r="E196" s="125" t="e">
        <f t="shared" ca="1" si="60"/>
        <v>#NAME?</v>
      </c>
      <c r="F196" s="35" t="e">
        <f t="shared" ca="1" si="61"/>
        <v>#NAME?</v>
      </c>
      <c r="G196" s="36" t="e">
        <f t="shared" ca="1" si="62"/>
        <v>#NAME?</v>
      </c>
      <c r="H196" s="74" t="e">
        <f t="shared" ca="1" si="63"/>
        <v>#NAME?</v>
      </c>
      <c r="I196" s="35" t="e">
        <f t="shared" ca="1" si="64"/>
        <v>#NAME?</v>
      </c>
      <c r="J196" s="35" t="e">
        <f t="shared" ca="1" si="65"/>
        <v>#NAME?</v>
      </c>
      <c r="K196" s="127">
        <f t="shared" si="66"/>
        <v>0.71409526226754805</v>
      </c>
      <c r="L196" s="127">
        <f t="shared" si="67"/>
        <v>1.7308760645072135E-6</v>
      </c>
      <c r="M196" s="127">
        <f t="shared" si="68"/>
        <v>3.9107308746514065E-8</v>
      </c>
      <c r="N196" s="127">
        <f t="shared" si="80"/>
        <v>2.122194136615071E-6</v>
      </c>
      <c r="O196" s="127">
        <f t="shared" si="69"/>
        <v>0.89742704858262135</v>
      </c>
      <c r="P196" s="127">
        <f t="shared" si="70"/>
        <v>3.3943269230769231E-6</v>
      </c>
      <c r="Q196" s="127">
        <f t="shared" si="71"/>
        <v>-2.4238727743564149E-6</v>
      </c>
      <c r="R196" s="127">
        <f t="shared" si="81"/>
        <v>-3.5221076336134348E-7</v>
      </c>
      <c r="S196" s="127">
        <f t="shared" si="72"/>
        <v>-2.7926343895919938E-8</v>
      </c>
      <c r="T196" s="127" t="e">
        <f t="shared" ca="1" si="82"/>
        <v>#NAME?</v>
      </c>
      <c r="U196" s="127" t="e">
        <f t="shared" ca="1" si="73"/>
        <v>#NAME?</v>
      </c>
      <c r="V196" s="127" t="e">
        <f t="shared" ca="1" si="74"/>
        <v>#NAME?</v>
      </c>
      <c r="W196" s="127" t="e">
        <f t="shared" ca="1" si="83"/>
        <v>#NAME?</v>
      </c>
      <c r="X196" s="127" t="e">
        <f t="shared" ca="1" si="75"/>
        <v>#NAME?</v>
      </c>
      <c r="Y196" s="127">
        <f t="shared" si="76"/>
        <v>54193.696539550067</v>
      </c>
      <c r="Z196" s="127" t="e">
        <f t="shared" ca="1" si="77"/>
        <v>#NAME?</v>
      </c>
      <c r="AA196" s="127" t="e">
        <f t="shared" ca="1" si="78"/>
        <v>#NAME?</v>
      </c>
      <c r="AB196" s="127" t="e">
        <f t="shared" ca="1" si="79"/>
        <v>#NAME?</v>
      </c>
    </row>
    <row r="197" spans="2:28">
      <c r="B197" s="97">
        <v>0.15</v>
      </c>
      <c r="C197" s="33">
        <f t="shared" si="58"/>
        <v>7.8</v>
      </c>
      <c r="D197" s="35">
        <f t="shared" si="59"/>
        <v>9.75</v>
      </c>
      <c r="E197" s="125" t="e">
        <f t="shared" ca="1" si="60"/>
        <v>#NAME?</v>
      </c>
      <c r="F197" s="35" t="e">
        <f t="shared" ca="1" si="61"/>
        <v>#NAME?</v>
      </c>
      <c r="G197" s="36" t="e">
        <f t="shared" ca="1" si="62"/>
        <v>#NAME?</v>
      </c>
      <c r="H197" s="74" t="e">
        <f t="shared" ca="1" si="63"/>
        <v>#NAME?</v>
      </c>
      <c r="I197" s="35" t="e">
        <f t="shared" ca="1" si="64"/>
        <v>#NAME?</v>
      </c>
      <c r="J197" s="35" t="e">
        <f t="shared" ca="1" si="65"/>
        <v>#NAME?</v>
      </c>
      <c r="K197" s="127">
        <f t="shared" si="66"/>
        <v>0.53557144670066104</v>
      </c>
      <c r="L197" s="127">
        <f t="shared" si="67"/>
        <v>1.2981570483804101E-6</v>
      </c>
      <c r="M197" s="127">
        <f t="shared" si="68"/>
        <v>5.2143078328685422E-8</v>
      </c>
      <c r="N197" s="127">
        <f t="shared" si="80"/>
        <v>1.702510890070439E-6</v>
      </c>
      <c r="O197" s="127">
        <f t="shared" si="69"/>
        <v>0.71995266450630879</v>
      </c>
      <c r="P197" s="127">
        <f t="shared" si="70"/>
        <v>4.5257692307692308E-6</v>
      </c>
      <c r="Q197" s="127">
        <f t="shared" si="71"/>
        <v>-2.4238727743564149E-6</v>
      </c>
      <c r="R197" s="127">
        <f t="shared" si="81"/>
        <v>-3.5221076336134348E-7</v>
      </c>
      <c r="S197" s="127">
        <f t="shared" si="72"/>
        <v>-2.7926343895919938E-8</v>
      </c>
      <c r="T197" s="127" t="e">
        <f t="shared" ca="1" si="82"/>
        <v>#NAME?</v>
      </c>
      <c r="U197" s="127" t="e">
        <f t="shared" ca="1" si="73"/>
        <v>#NAME?</v>
      </c>
      <c r="V197" s="127" t="e">
        <f t="shared" ca="1" si="74"/>
        <v>#NAME?</v>
      </c>
      <c r="W197" s="127" t="e">
        <f t="shared" ca="1" si="83"/>
        <v>#NAME?</v>
      </c>
      <c r="X197" s="127" t="e">
        <f t="shared" ca="1" si="75"/>
        <v>#NAME?</v>
      </c>
      <c r="Y197" s="127">
        <f t="shared" si="76"/>
        <v>40645.272404662544</v>
      </c>
      <c r="Z197" s="127" t="e">
        <f t="shared" ca="1" si="77"/>
        <v>#NAME?</v>
      </c>
      <c r="AA197" s="127" t="e">
        <f t="shared" ca="1" si="78"/>
        <v>#NAME?</v>
      </c>
      <c r="AB197" s="127" t="e">
        <f t="shared" ca="1" si="79"/>
        <v>#NAME?</v>
      </c>
    </row>
    <row r="198" spans="2:28">
      <c r="B198" s="97">
        <v>0.1</v>
      </c>
      <c r="C198" s="33">
        <f t="shared" si="58"/>
        <v>5.2</v>
      </c>
      <c r="D198" s="35">
        <f t="shared" si="59"/>
        <v>6.5</v>
      </c>
      <c r="E198" s="125" t="e">
        <f t="shared" ca="1" si="60"/>
        <v>#NAME?</v>
      </c>
      <c r="F198" s="35" t="e">
        <f t="shared" ca="1" si="61"/>
        <v>#NAME?</v>
      </c>
      <c r="G198" s="36" t="e">
        <f t="shared" ca="1" si="62"/>
        <v>#NAME?</v>
      </c>
      <c r="H198" s="74" t="e">
        <f t="shared" ca="1" si="63"/>
        <v>#NAME?</v>
      </c>
      <c r="I198" s="35" t="e">
        <f t="shared" ca="1" si="64"/>
        <v>#NAME?</v>
      </c>
      <c r="J198" s="35" t="e">
        <f t="shared" ca="1" si="65"/>
        <v>#NAME?</v>
      </c>
      <c r="K198" s="127">
        <f t="shared" si="66"/>
        <v>0.35704763113377402</v>
      </c>
      <c r="L198" s="127">
        <f t="shared" si="67"/>
        <v>8.6543803225360675E-7</v>
      </c>
      <c r="M198" s="127">
        <f t="shared" si="68"/>
        <v>7.8214617493028129E-8</v>
      </c>
      <c r="N198" s="127">
        <f t="shared" si="80"/>
        <v>1.2958634131079784E-6</v>
      </c>
      <c r="O198" s="127">
        <f t="shared" si="69"/>
        <v>0.5479908073097427</v>
      </c>
      <c r="P198" s="127">
        <f t="shared" si="70"/>
        <v>6.7886538461538462E-6</v>
      </c>
      <c r="Q198" s="127">
        <f t="shared" si="71"/>
        <v>-2.4238727743564149E-6</v>
      </c>
      <c r="R198" s="127">
        <f t="shared" si="81"/>
        <v>-3.5221076336134348E-7</v>
      </c>
      <c r="S198" s="127">
        <f t="shared" si="72"/>
        <v>-2.7926343895919938E-8</v>
      </c>
      <c r="T198" s="127" t="e">
        <f t="shared" ca="1" si="82"/>
        <v>#NAME?</v>
      </c>
      <c r="U198" s="127" t="e">
        <f t="shared" ca="1" si="73"/>
        <v>#NAME?</v>
      </c>
      <c r="V198" s="127" t="e">
        <f t="shared" ca="1" si="74"/>
        <v>#NAME?</v>
      </c>
      <c r="W198" s="127" t="e">
        <f t="shared" ca="1" si="83"/>
        <v>#NAME?</v>
      </c>
      <c r="X198" s="127" t="e">
        <f t="shared" ca="1" si="75"/>
        <v>#NAME?</v>
      </c>
      <c r="Y198" s="127">
        <f t="shared" si="76"/>
        <v>27096.848269775033</v>
      </c>
      <c r="Z198" s="127" t="e">
        <f t="shared" ca="1" si="77"/>
        <v>#NAME?</v>
      </c>
      <c r="AA198" s="127" t="e">
        <f t="shared" ca="1" si="78"/>
        <v>#NAME?</v>
      </c>
      <c r="AB198" s="127" t="e">
        <f t="shared" ca="1" si="79"/>
        <v>#NAME?</v>
      </c>
    </row>
    <row r="199" spans="2:28">
      <c r="B199" s="97">
        <v>4.9999999999999933E-2</v>
      </c>
      <c r="C199" s="33">
        <f t="shared" si="58"/>
        <v>2.5999999999999965</v>
      </c>
      <c r="D199" s="35">
        <f t="shared" si="59"/>
        <v>3.2499999999999956</v>
      </c>
      <c r="E199" s="125" t="e">
        <f t="shared" ca="1" si="60"/>
        <v>#NAME?</v>
      </c>
      <c r="F199" s="35" t="e">
        <f t="shared" ca="1" si="61"/>
        <v>#NAME?</v>
      </c>
      <c r="G199" s="36" t="e">
        <f t="shared" ca="1" si="62"/>
        <v>#NAME?</v>
      </c>
      <c r="H199" s="74" t="e">
        <f t="shared" ca="1" si="63"/>
        <v>#NAME?</v>
      </c>
      <c r="I199" s="35" t="e">
        <f t="shared" ca="1" si="64"/>
        <v>#NAME?</v>
      </c>
      <c r="J199" s="35" t="e">
        <f t="shared" ca="1" si="65"/>
        <v>#NAME?</v>
      </c>
      <c r="K199" s="127">
        <f t="shared" si="66"/>
        <v>0.17852381556688679</v>
      </c>
      <c r="L199" s="127">
        <f t="shared" si="67"/>
        <v>4.3271901612680279E-7</v>
      </c>
      <c r="M199" s="127">
        <f t="shared" si="68"/>
        <v>1.5642923498605647E-7</v>
      </c>
      <c r="N199" s="127">
        <f t="shared" si="80"/>
        <v>9.4135901447420269E-7</v>
      </c>
      <c r="O199" s="127">
        <f t="shared" si="69"/>
        <v>0.39807905763216278</v>
      </c>
      <c r="P199" s="127">
        <f t="shared" si="70"/>
        <v>1.3577307692307711E-5</v>
      </c>
      <c r="Q199" s="127">
        <f t="shared" si="71"/>
        <v>-2.4238727743564149E-6</v>
      </c>
      <c r="R199" s="127">
        <f t="shared" si="81"/>
        <v>-3.5221076336134348E-7</v>
      </c>
      <c r="S199" s="127">
        <f t="shared" si="72"/>
        <v>-2.7926343895919938E-8</v>
      </c>
      <c r="T199" s="127" t="e">
        <f t="shared" ca="1" si="82"/>
        <v>#NAME?</v>
      </c>
      <c r="U199" s="127" t="e">
        <f t="shared" ca="1" si="73"/>
        <v>#NAME?</v>
      </c>
      <c r="V199" s="127" t="e">
        <f t="shared" ca="1" si="74"/>
        <v>#NAME?</v>
      </c>
      <c r="W199" s="127" t="e">
        <f t="shared" ca="1" si="83"/>
        <v>#NAME?</v>
      </c>
      <c r="X199" s="127" t="e">
        <f t="shared" ca="1" si="75"/>
        <v>#NAME?</v>
      </c>
      <c r="Y199" s="127">
        <f t="shared" si="76"/>
        <v>13548.424134887497</v>
      </c>
      <c r="Z199" s="127" t="e">
        <f t="shared" ca="1" si="77"/>
        <v>#NAME?</v>
      </c>
      <c r="AA199" s="127" t="e">
        <f t="shared" ca="1" si="78"/>
        <v>#NAME?</v>
      </c>
      <c r="AB199" s="127" t="e">
        <f t="shared" ca="1" si="79"/>
        <v>#NAME?</v>
      </c>
    </row>
    <row r="200" spans="2:28">
      <c r="B200" s="97">
        <v>0.01</v>
      </c>
      <c r="C200" s="33">
        <f t="shared" si="58"/>
        <v>0.52</v>
      </c>
      <c r="D200" s="35">
        <f t="shared" si="59"/>
        <v>0.65</v>
      </c>
      <c r="E200" s="125" t="e">
        <f t="shared" ca="1" si="60"/>
        <v>#NAME?</v>
      </c>
      <c r="F200" s="35" t="e">
        <f ca="1">IF(E200="QR",T200,IF(E200="DCM",SQRT(2*D200/($B$44*$B$70)),$C$174))</f>
        <v>#NAME?</v>
      </c>
      <c r="G200" s="36" t="e">
        <f t="shared" ca="1" si="62"/>
        <v>#NAME?</v>
      </c>
      <c r="H200" s="74" t="e">
        <f t="shared" ca="1" si="63"/>
        <v>#NAME?</v>
      </c>
      <c r="I200" s="35" t="e">
        <f t="shared" ca="1" si="64"/>
        <v>#NAME?</v>
      </c>
      <c r="J200" s="35" t="e">
        <f t="shared" ca="1" si="65"/>
        <v>#NAME?</v>
      </c>
      <c r="K200" s="127">
        <f t="shared" si="66"/>
        <v>3.5704763113377405E-2</v>
      </c>
      <c r="L200" s="127">
        <f t="shared" si="67"/>
        <v>8.6543803225360683E-8</v>
      </c>
      <c r="M200" s="127">
        <f t="shared" si="68"/>
        <v>7.8214617493028124E-7</v>
      </c>
      <c r="N200" s="127">
        <f t="shared" si="80"/>
        <v>1.2209007415169854E-6</v>
      </c>
      <c r="O200" s="127">
        <f t="shared" si="69"/>
        <v>0.51629081909515107</v>
      </c>
      <c r="P200" s="127">
        <f t="shared" si="70"/>
        <v>6.7886538461538467E-5</v>
      </c>
      <c r="Q200" s="127">
        <f t="shared" si="71"/>
        <v>-2.4238727743564149E-6</v>
      </c>
      <c r="R200" s="127">
        <f t="shared" si="81"/>
        <v>-3.5221076336134348E-7</v>
      </c>
      <c r="S200" s="127">
        <f t="shared" si="72"/>
        <v>-2.7926343895919938E-8</v>
      </c>
      <c r="T200" s="127" t="e">
        <f t="shared" ca="1" si="82"/>
        <v>#NAME?</v>
      </c>
      <c r="U200" s="127" t="e">
        <f t="shared" ca="1" si="73"/>
        <v>#NAME?</v>
      </c>
      <c r="V200" s="127" t="e">
        <f t="shared" ca="1" si="74"/>
        <v>#NAME?</v>
      </c>
      <c r="W200" s="127" t="e">
        <f t="shared" ca="1" si="83"/>
        <v>#NAME?</v>
      </c>
      <c r="X200" s="127" t="e">
        <f t="shared" ca="1" si="75"/>
        <v>#NAME?</v>
      </c>
      <c r="Y200" s="127">
        <f t="shared" si="76"/>
        <v>2709.6848269775032</v>
      </c>
      <c r="Z200" s="127" t="e">
        <f t="shared" ca="1" si="77"/>
        <v>#NAME?</v>
      </c>
      <c r="AA200" s="127" t="e">
        <f t="shared" ca="1" si="78"/>
        <v>#NAME?</v>
      </c>
      <c r="AB200" s="127" t="e">
        <f t="shared" ca="1" si="79"/>
        <v>#NAME?</v>
      </c>
    </row>
    <row r="203" spans="2:28" ht="14.25">
      <c r="B203" s="153" t="s">
        <v>156</v>
      </c>
      <c r="C203" s="153"/>
      <c r="D203" s="153"/>
      <c r="E203" s="153"/>
      <c r="F203" s="153"/>
      <c r="G203" s="153"/>
    </row>
    <row r="204" spans="2:28" ht="14.25">
      <c r="B204" s="153" t="s">
        <v>157</v>
      </c>
      <c r="C204" s="130" t="s">
        <v>158</v>
      </c>
      <c r="D204" s="131" t="s">
        <v>159</v>
      </c>
      <c r="E204" s="132" t="s">
        <v>160</v>
      </c>
      <c r="F204" s="131" t="s">
        <v>161</v>
      </c>
      <c r="G204" s="132" t="s">
        <v>162</v>
      </c>
    </row>
    <row r="205" spans="2:28" s="97" customFormat="1" ht="15" customHeight="1">
      <c r="B205" s="153"/>
      <c r="C205" s="96" t="s">
        <v>111</v>
      </c>
      <c r="D205" s="96" t="s">
        <v>112</v>
      </c>
      <c r="E205" s="96" t="s">
        <v>107</v>
      </c>
      <c r="F205" s="96" t="s">
        <v>319</v>
      </c>
      <c r="G205" s="96" t="s">
        <v>319</v>
      </c>
      <c r="H205" s="133" t="s">
        <v>49</v>
      </c>
      <c r="I205" s="134" t="s">
        <v>27</v>
      </c>
      <c r="J205" s="134" t="s">
        <v>69</v>
      </c>
      <c r="K205" s="133" t="s">
        <v>86</v>
      </c>
      <c r="L205" s="133" t="s">
        <v>68</v>
      </c>
      <c r="M205" s="133" t="s">
        <v>43</v>
      </c>
      <c r="N205" s="133" t="s">
        <v>87</v>
      </c>
      <c r="O205" s="133" t="s">
        <v>46</v>
      </c>
      <c r="P205" s="135" t="s">
        <v>88</v>
      </c>
      <c r="Q205" s="133" t="s">
        <v>32</v>
      </c>
      <c r="R205" s="133" t="s">
        <v>89</v>
      </c>
      <c r="S205" s="133" t="s">
        <v>13</v>
      </c>
      <c r="T205" s="125"/>
    </row>
    <row r="206" spans="2:28">
      <c r="B206" s="136">
        <f t="shared" ref="B206:C226" si="84">B91</f>
        <v>0</v>
      </c>
      <c r="C206" s="35">
        <f t="shared" si="84"/>
        <v>107.48023074035522</v>
      </c>
      <c r="D206" s="36">
        <f t="shared" ref="D206:D226" si="85">1/S206</f>
        <v>54968.589495316875</v>
      </c>
      <c r="E206" s="35">
        <f t="shared" ref="E206:E226" si="86">(1/2)*(L206^2)*$B$44*D206</f>
        <v>103.69392687333193</v>
      </c>
      <c r="F206" s="35">
        <f t="shared" ref="F206:F226" si="87">L206*SQRT(M206/(3*S206))</f>
        <v>2.0507001489071688</v>
      </c>
      <c r="G206" s="35">
        <f t="shared" ref="G206:G226" si="88">L206*$B$47*SQRT(O206/(3*S206))</f>
        <v>11.397537499375954</v>
      </c>
      <c r="H206" s="127" t="b">
        <f t="shared" ref="H206:H226" si="89">M91</f>
        <v>0</v>
      </c>
      <c r="I206" s="127">
        <f t="shared" ref="I206:I226" si="90">N91</f>
        <v>1.4423394108932216E-10</v>
      </c>
      <c r="J206" s="127">
        <f t="shared" ref="J206:J226" si="91">AF91</f>
        <v>5.8658642547811616E-5</v>
      </c>
      <c r="K206" s="127">
        <f t="shared" ref="K206:K226" si="92">J206*$B$55</f>
        <v>9.3853828076498585E-2</v>
      </c>
      <c r="L206" s="137">
        <f t="shared" ref="L206:L226" si="93">($B$67-K206)/$B$54</f>
        <v>6.5383904807731605</v>
      </c>
      <c r="M206" s="127">
        <f t="shared" ref="M206:M226" si="94">$B$44*L206/C206</f>
        <v>5.3687017782683098E-6</v>
      </c>
      <c r="N206" s="127">
        <f t="shared" ref="N206:N226" si="95">SQRT($B$43*I206)+(I206/L206)*(C206+$B$47*($B$17+$B$37))</f>
        <v>2.1013511826128871E-8</v>
      </c>
      <c r="O206" s="127">
        <f t="shared" ref="O206:O226" si="96">$B$44*L206/(($B$17+$B$37)*$B$47)</f>
        <v>1.2448048881553951E-5</v>
      </c>
      <c r="P206" s="127">
        <f t="shared" ref="P206:P226" si="97">R91</f>
        <v>0</v>
      </c>
      <c r="Q206" s="127">
        <f t="shared" ref="Q206:Q226" si="98">T91</f>
        <v>0</v>
      </c>
      <c r="R206" s="127">
        <f t="shared" ref="R206:R226" si="99">IF(H206=TRUE,SQRT($B$44*I206)*ACOS(C206/(($B$17+$B$37)*$B$47)),SQRT($B$44*I206)*PI())</f>
        <v>3.5444358156667739E-7</v>
      </c>
      <c r="S206" s="127">
        <f>M206+N206+O206+Q206+R206</f>
        <v>1.8192207753215067E-5</v>
      </c>
    </row>
    <row r="207" spans="2:28">
      <c r="B207" s="136">
        <f t="shared" si="84"/>
        <v>1</v>
      </c>
      <c r="C207" s="35">
        <f t="shared" si="84"/>
        <v>110.59150057757603</v>
      </c>
      <c r="D207" s="36">
        <f t="shared" si="85"/>
        <v>55642.54406593155</v>
      </c>
      <c r="E207" s="35">
        <f t="shared" si="86"/>
        <v>104.1591576902303</v>
      </c>
      <c r="F207" s="35">
        <f t="shared" si="87"/>
        <v>2.0222767532742303</v>
      </c>
      <c r="G207" s="35">
        <f t="shared" si="88"/>
        <v>11.401081145957249</v>
      </c>
      <c r="H207" s="127" t="b">
        <f t="shared" si="89"/>
        <v>0</v>
      </c>
      <c r="I207" s="127">
        <f t="shared" si="90"/>
        <v>1.4315107264162696E-10</v>
      </c>
      <c r="J207" s="127">
        <f t="shared" si="91"/>
        <v>6.0356655884721951E-5</v>
      </c>
      <c r="K207" s="127">
        <f t="shared" si="92"/>
        <v>9.6570649415555126E-2</v>
      </c>
      <c r="L207" s="127">
        <f t="shared" si="93"/>
        <v>6.5132347276337477</v>
      </c>
      <c r="M207" s="127">
        <f t="shared" si="94"/>
        <v>5.1975897315661163E-6</v>
      </c>
      <c r="N207" s="127">
        <f t="shared" si="95"/>
        <v>2.1003155843864663E-8</v>
      </c>
      <c r="O207" s="127">
        <f t="shared" si="96"/>
        <v>1.2400156354233576E-5</v>
      </c>
      <c r="P207" s="127">
        <f t="shared" si="97"/>
        <v>0</v>
      </c>
      <c r="Q207" s="127">
        <f t="shared" si="98"/>
        <v>0</v>
      </c>
      <c r="R207" s="127">
        <f t="shared" si="99"/>
        <v>3.5311054275248615E-7</v>
      </c>
      <c r="S207" s="127">
        <f t="shared" ref="S207:S226" si="100">M207+N207+O207+Q207+R207</f>
        <v>1.7971859784396044E-5</v>
      </c>
    </row>
    <row r="208" spans="2:28">
      <c r="B208" s="136">
        <f t="shared" si="84"/>
        <v>2</v>
      </c>
      <c r="C208" s="35">
        <f t="shared" si="84"/>
        <v>113.70277041479683</v>
      </c>
      <c r="D208" s="36">
        <f t="shared" si="85"/>
        <v>56303.327260838363</v>
      </c>
      <c r="E208" s="35">
        <f t="shared" si="86"/>
        <v>104.58353969127481</v>
      </c>
      <c r="F208" s="35">
        <f t="shared" si="87"/>
        <v>1.9946126971739693</v>
      </c>
      <c r="G208" s="35">
        <f t="shared" si="88"/>
        <v>11.402200522214475</v>
      </c>
      <c r="H208" s="127" t="b">
        <f t="shared" si="89"/>
        <v>0</v>
      </c>
      <c r="I208" s="127">
        <f t="shared" si="90"/>
        <v>1.4212064917439033E-10</v>
      </c>
      <c r="J208" s="127">
        <f t="shared" si="91"/>
        <v>6.2054669221632279E-5</v>
      </c>
      <c r="K208" s="127">
        <f t="shared" si="92"/>
        <v>9.928747075461164E-2</v>
      </c>
      <c r="L208" s="127">
        <f t="shared" si="93"/>
        <v>6.4880789744943357</v>
      </c>
      <c r="M208" s="127">
        <f t="shared" si="94"/>
        <v>5.0358420257282218E-6</v>
      </c>
      <c r="N208" s="127">
        <f t="shared" si="95"/>
        <v>2.0996464980652633E-8</v>
      </c>
      <c r="O208" s="127">
        <f t="shared" si="96"/>
        <v>1.2352263826913202E-5</v>
      </c>
      <c r="P208" s="127">
        <f t="shared" si="97"/>
        <v>0</v>
      </c>
      <c r="Q208" s="127">
        <f t="shared" si="98"/>
        <v>0</v>
      </c>
      <c r="R208" s="127">
        <f t="shared" si="99"/>
        <v>3.5183737546685233E-7</v>
      </c>
      <c r="S208" s="127">
        <f t="shared" si="100"/>
        <v>1.7760939693088929E-5</v>
      </c>
    </row>
    <row r="209" spans="2:19">
      <c r="B209" s="136">
        <f t="shared" si="84"/>
        <v>3</v>
      </c>
      <c r="C209" s="35">
        <f t="shared" si="84"/>
        <v>116.81404025201763</v>
      </c>
      <c r="D209" s="36">
        <f t="shared" si="85"/>
        <v>56951.84309389507</v>
      </c>
      <c r="E209" s="35">
        <f t="shared" si="86"/>
        <v>104.96942005800791</v>
      </c>
      <c r="F209" s="35">
        <f t="shared" si="87"/>
        <v>1.9676721786880158</v>
      </c>
      <c r="G209" s="35">
        <f t="shared" si="88"/>
        <v>11.401049714187668</v>
      </c>
      <c r="H209" s="127" t="b">
        <f t="shared" si="89"/>
        <v>0</v>
      </c>
      <c r="I209" s="127">
        <f t="shared" si="90"/>
        <v>1.4113834073063498E-10</v>
      </c>
      <c r="J209" s="127">
        <f t="shared" si="91"/>
        <v>6.3752682558542613E-5</v>
      </c>
      <c r="K209" s="127">
        <f t="shared" si="92"/>
        <v>0.10200429209366818</v>
      </c>
      <c r="L209" s="127">
        <f t="shared" si="93"/>
        <v>6.4629232213549228</v>
      </c>
      <c r="M209" s="127">
        <f t="shared" si="94"/>
        <v>4.8827104204434344E-6</v>
      </c>
      <c r="N209" s="127">
        <f t="shared" si="95"/>
        <v>2.0993178763443963E-8</v>
      </c>
      <c r="O209" s="127">
        <f t="shared" si="96"/>
        <v>1.2304371299592824E-5</v>
      </c>
      <c r="P209" s="127">
        <f t="shared" si="97"/>
        <v>0</v>
      </c>
      <c r="Q209" s="127">
        <f t="shared" si="98"/>
        <v>0</v>
      </c>
      <c r="R209" s="127">
        <f t="shared" si="99"/>
        <v>3.5061935366417466E-7</v>
      </c>
      <c r="S209" s="127">
        <f t="shared" si="100"/>
        <v>1.7558694252463878E-5</v>
      </c>
    </row>
    <row r="210" spans="2:19">
      <c r="B210" s="136">
        <f t="shared" si="84"/>
        <v>4</v>
      </c>
      <c r="C210" s="35">
        <f t="shared" si="84"/>
        <v>119.92531008923844</v>
      </c>
      <c r="D210" s="36">
        <f t="shared" si="85"/>
        <v>57588.929631764135</v>
      </c>
      <c r="E210" s="35">
        <f t="shared" si="86"/>
        <v>105.31896917142348</v>
      </c>
      <c r="F210" s="35">
        <f t="shared" si="87"/>
        <v>1.9414217387574277</v>
      </c>
      <c r="G210" s="35">
        <f t="shared" si="88"/>
        <v>11.397769898230681</v>
      </c>
      <c r="H210" s="127" t="b">
        <f t="shared" si="89"/>
        <v>0</v>
      </c>
      <c r="I210" s="127">
        <f t="shared" si="90"/>
        <v>1.4020032390442429E-10</v>
      </c>
      <c r="J210" s="127">
        <f t="shared" si="91"/>
        <v>6.5450695895452948E-5</v>
      </c>
      <c r="K210" s="127">
        <f t="shared" si="92"/>
        <v>0.10472111343272472</v>
      </c>
      <c r="L210" s="127">
        <f t="shared" si="93"/>
        <v>6.4377674682155117</v>
      </c>
      <c r="M210" s="127">
        <f t="shared" si="94"/>
        <v>4.7375243229800297E-6</v>
      </c>
      <c r="N210" s="127">
        <f t="shared" si="95"/>
        <v>2.09930677653867E-8</v>
      </c>
      <c r="O210" s="127">
        <f t="shared" si="96"/>
        <v>1.2256478772272451E-5</v>
      </c>
      <c r="P210" s="127">
        <f t="shared" si="97"/>
        <v>0</v>
      </c>
      <c r="Q210" s="127">
        <f t="shared" si="98"/>
        <v>0</v>
      </c>
      <c r="R210" s="127">
        <f t="shared" si="99"/>
        <v>3.4945228904075842E-7</v>
      </c>
      <c r="S210" s="127">
        <f t="shared" si="100"/>
        <v>1.7364448452058628E-5</v>
      </c>
    </row>
    <row r="211" spans="2:19">
      <c r="B211" s="136">
        <f t="shared" si="84"/>
        <v>5</v>
      </c>
      <c r="C211" s="35">
        <f t="shared" si="84"/>
        <v>123.03657992645924</v>
      </c>
      <c r="D211" s="36">
        <f t="shared" si="85"/>
        <v>58215.36514898498</v>
      </c>
      <c r="E211" s="35">
        <f t="shared" si="86"/>
        <v>105.6341969889184</v>
      </c>
      <c r="F211" s="35">
        <f t="shared" si="87"/>
        <v>1.9158300675623776</v>
      </c>
      <c r="G211" s="35">
        <f t="shared" si="88"/>
        <v>11.392490677980218</v>
      </c>
      <c r="H211" s="127" t="b">
        <f t="shared" si="89"/>
        <v>0</v>
      </c>
      <c r="I211" s="127">
        <f t="shared" si="90"/>
        <v>1.3930320548510747E-10</v>
      </c>
      <c r="J211" s="127">
        <f t="shared" si="91"/>
        <v>6.7148709232363283E-5</v>
      </c>
      <c r="K211" s="127">
        <f t="shared" si="92"/>
        <v>0.10743793477178125</v>
      </c>
      <c r="L211" s="127">
        <f t="shared" si="93"/>
        <v>6.4126117150760997</v>
      </c>
      <c r="M211" s="127">
        <f t="shared" si="94"/>
        <v>4.599680970675693E-6</v>
      </c>
      <c r="N211" s="127">
        <f t="shared" si="95"/>
        <v>2.0995928942674612E-8</v>
      </c>
      <c r="O211" s="127">
        <f t="shared" si="96"/>
        <v>1.2208586244952078E-5</v>
      </c>
      <c r="P211" s="127">
        <f t="shared" si="97"/>
        <v>0</v>
      </c>
      <c r="Q211" s="127">
        <f t="shared" si="98"/>
        <v>0</v>
      </c>
      <c r="R211" s="127">
        <f t="shared" si="99"/>
        <v>3.483324513825512E-7</v>
      </c>
      <c r="S211" s="127">
        <f t="shared" si="100"/>
        <v>1.7177595595952997E-5</v>
      </c>
    </row>
    <row r="212" spans="2:19">
      <c r="B212" s="136">
        <f t="shared" si="84"/>
        <v>6</v>
      </c>
      <c r="C212" s="35">
        <f t="shared" si="84"/>
        <v>126.14784976368004</v>
      </c>
      <c r="D212" s="36">
        <f t="shared" si="85"/>
        <v>58831.873608943992</v>
      </c>
      <c r="E212" s="35">
        <f t="shared" si="86"/>
        <v>105.91696762766765</v>
      </c>
      <c r="F212" s="35">
        <f t="shared" si="87"/>
        <v>1.8908678300089143</v>
      </c>
      <c r="G212" s="35">
        <f t="shared" si="88"/>
        <v>11.385331256911842</v>
      </c>
      <c r="H212" s="127" t="b">
        <f t="shared" si="89"/>
        <v>0</v>
      </c>
      <c r="I212" s="127">
        <f t="shared" si="90"/>
        <v>1.3844396008439944E-10</v>
      </c>
      <c r="J212" s="127">
        <f t="shared" si="91"/>
        <v>6.8846722569273618E-5</v>
      </c>
      <c r="K212" s="127">
        <f t="shared" si="92"/>
        <v>0.11015475611083779</v>
      </c>
      <c r="L212" s="127">
        <f t="shared" si="93"/>
        <v>6.3874559619366869</v>
      </c>
      <c r="M212" s="127">
        <f t="shared" si="94"/>
        <v>4.4686370662428692E-6</v>
      </c>
      <c r="N212" s="127">
        <f t="shared" si="95"/>
        <v>2.1001581826270496E-8</v>
      </c>
      <c r="O212" s="127">
        <f t="shared" si="96"/>
        <v>1.2160693717631701E-5</v>
      </c>
      <c r="P212" s="127">
        <f t="shared" si="97"/>
        <v>0</v>
      </c>
      <c r="Q212" s="127">
        <f t="shared" si="98"/>
        <v>0</v>
      </c>
      <c r="R212" s="127">
        <f t="shared" si="99"/>
        <v>3.4725650333653473E-7</v>
      </c>
      <c r="S212" s="127">
        <f t="shared" si="100"/>
        <v>1.6997588869037374E-5</v>
      </c>
    </row>
    <row r="213" spans="2:19">
      <c r="B213" s="136">
        <f t="shared" si="84"/>
        <v>7</v>
      </c>
      <c r="C213" s="35">
        <f t="shared" si="84"/>
        <v>129.25911960090085</v>
      </c>
      <c r="D213" s="36">
        <f t="shared" si="85"/>
        <v>59439.129556048938</v>
      </c>
      <c r="E213" s="35">
        <f t="shared" si="86"/>
        <v>106.16901238079522</v>
      </c>
      <c r="F213" s="35">
        <f t="shared" si="87"/>
        <v>1.8665075081617419</v>
      </c>
      <c r="G213" s="35">
        <f t="shared" si="88"/>
        <v>11.376401469845684</v>
      </c>
      <c r="H213" s="127" t="b">
        <f t="shared" si="89"/>
        <v>0</v>
      </c>
      <c r="I213" s="127">
        <f t="shared" si="90"/>
        <v>1.3761987875685695E-10</v>
      </c>
      <c r="J213" s="127">
        <f t="shared" si="91"/>
        <v>7.0544735906183953E-5</v>
      </c>
      <c r="K213" s="127">
        <f t="shared" si="92"/>
        <v>0.11287157744989433</v>
      </c>
      <c r="L213" s="127">
        <f t="shared" si="93"/>
        <v>6.3623002087972749</v>
      </c>
      <c r="M213" s="127">
        <f t="shared" si="94"/>
        <v>4.3439016211044069E-6</v>
      </c>
      <c r="N213" s="127">
        <f t="shared" si="95"/>
        <v>2.1009865385504673E-8</v>
      </c>
      <c r="O213" s="127">
        <f t="shared" si="96"/>
        <v>1.2112801190311328E-5</v>
      </c>
      <c r="P213" s="127">
        <f t="shared" si="97"/>
        <v>0</v>
      </c>
      <c r="Q213" s="127">
        <f t="shared" si="98"/>
        <v>0</v>
      </c>
      <c r="R213" s="127">
        <f t="shared" si="99"/>
        <v>3.4622144654483763E-7</v>
      </c>
      <c r="S213" s="127">
        <f t="shared" si="100"/>
        <v>1.6823934123346076E-5</v>
      </c>
    </row>
    <row r="214" spans="2:19">
      <c r="B214" s="136">
        <f t="shared" si="84"/>
        <v>8</v>
      </c>
      <c r="C214" s="35">
        <f t="shared" si="84"/>
        <v>132.37038943812166</v>
      </c>
      <c r="D214" s="36">
        <f t="shared" si="85"/>
        <v>60037.762492158603</v>
      </c>
      <c r="E214" s="35">
        <f t="shared" si="86"/>
        <v>106.39194136032299</v>
      </c>
      <c r="F214" s="35">
        <f t="shared" si="87"/>
        <v>1.8427232587316578</v>
      </c>
      <c r="G214" s="35">
        <f t="shared" si="88"/>
        <v>11.365802693002024</v>
      </c>
      <c r="H214" s="127" t="b">
        <f t="shared" si="89"/>
        <v>0</v>
      </c>
      <c r="I214" s="127">
        <f t="shared" si="90"/>
        <v>1.3682852634956541E-10</v>
      </c>
      <c r="J214" s="127">
        <f t="shared" si="91"/>
        <v>7.2242749243094288E-5</v>
      </c>
      <c r="K214" s="127">
        <f t="shared" si="92"/>
        <v>0.11558839878895086</v>
      </c>
      <c r="L214" s="127">
        <f t="shared" si="93"/>
        <v>6.337144455657862</v>
      </c>
      <c r="M214" s="127">
        <f t="shared" si="94"/>
        <v>4.2250298080023648E-6</v>
      </c>
      <c r="N214" s="127">
        <f t="shared" si="95"/>
        <v>2.1020635425012893E-8</v>
      </c>
      <c r="O214" s="127">
        <f t="shared" si="96"/>
        <v>1.206490866299095E-5</v>
      </c>
      <c r="P214" s="127">
        <f t="shared" si="97"/>
        <v>0</v>
      </c>
      <c r="Q214" s="127">
        <f t="shared" si="98"/>
        <v>0</v>
      </c>
      <c r="R214" s="127">
        <f t="shared" si="99"/>
        <v>3.4522457681949802E-7</v>
      </c>
      <c r="S214" s="127">
        <f t="shared" si="100"/>
        <v>1.6656183683237824E-5</v>
      </c>
    </row>
    <row r="215" spans="2:19">
      <c r="B215" s="136">
        <f t="shared" si="84"/>
        <v>9</v>
      </c>
      <c r="C215" s="35">
        <f t="shared" si="84"/>
        <v>135.48165927534248</v>
      </c>
      <c r="D215" s="36">
        <f t="shared" si="85"/>
        <v>60628.360800046044</v>
      </c>
      <c r="E215" s="35">
        <f t="shared" si="86"/>
        <v>106.58725393369242</v>
      </c>
      <c r="F215" s="35">
        <f t="shared" si="87"/>
        <v>1.8194907839606393</v>
      </c>
      <c r="G215" s="35">
        <f t="shared" si="88"/>
        <v>11.353628649121605</v>
      </c>
      <c r="H215" s="127" t="b">
        <f t="shared" si="89"/>
        <v>0</v>
      </c>
      <c r="I215" s="127">
        <f t="shared" si="90"/>
        <v>1.3606770584659241E-10</v>
      </c>
      <c r="J215" s="127">
        <f t="shared" si="91"/>
        <v>7.3940762580004623E-5</v>
      </c>
      <c r="K215" s="127">
        <f t="shared" si="92"/>
        <v>0.1183052201280074</v>
      </c>
      <c r="L215" s="127">
        <f t="shared" si="93"/>
        <v>6.31198870251845</v>
      </c>
      <c r="M215" s="127">
        <f t="shared" si="94"/>
        <v>4.1116176606377877E-6</v>
      </c>
      <c r="N215" s="127">
        <f t="shared" si="95"/>
        <v>2.1033762408937368E-8</v>
      </c>
      <c r="O215" s="127">
        <f t="shared" si="96"/>
        <v>1.2017016135670576E-5</v>
      </c>
      <c r="P215" s="127">
        <f t="shared" si="97"/>
        <v>0</v>
      </c>
      <c r="Q215" s="127">
        <f t="shared" si="98"/>
        <v>0</v>
      </c>
      <c r="R215" s="127">
        <f t="shared" si="99"/>
        <v>3.442634465761922E-7</v>
      </c>
      <c r="S215" s="127">
        <f t="shared" si="100"/>
        <v>1.6493931005293491E-5</v>
      </c>
    </row>
    <row r="216" spans="2:19">
      <c r="B216" s="136">
        <f t="shared" si="84"/>
        <v>10</v>
      </c>
      <c r="C216" s="35">
        <f t="shared" si="84"/>
        <v>138.5929291125633</v>
      </c>
      <c r="D216" s="36">
        <f t="shared" si="85"/>
        <v>61211.475268026195</v>
      </c>
      <c r="E216" s="35">
        <f t="shared" si="86"/>
        <v>106.75634809774181</v>
      </c>
      <c r="F216" s="35">
        <f t="shared" si="87"/>
        <v>1.7967872144509025</v>
      </c>
      <c r="G216" s="35">
        <f t="shared" si="88"/>
        <v>11.339966121622505</v>
      </c>
      <c r="H216" s="127" t="b">
        <f t="shared" si="89"/>
        <v>0</v>
      </c>
      <c r="I216" s="127">
        <f t="shared" si="90"/>
        <v>1.3533542836562913E-10</v>
      </c>
      <c r="J216" s="127">
        <f t="shared" si="91"/>
        <v>7.5638775916914971E-5</v>
      </c>
      <c r="K216" s="127">
        <f t="shared" si="92"/>
        <v>0.12102204146706395</v>
      </c>
      <c r="L216" s="127">
        <f t="shared" si="93"/>
        <v>6.2868329493790371</v>
      </c>
      <c r="M216" s="127">
        <f t="shared" si="94"/>
        <v>4.003297487236518E-6</v>
      </c>
      <c r="N216" s="127">
        <f t="shared" si="95"/>
        <v>2.1049129630313768E-8</v>
      </c>
      <c r="O216" s="127">
        <f t="shared" si="96"/>
        <v>1.1969123608350201E-5</v>
      </c>
      <c r="P216" s="127">
        <f t="shared" si="97"/>
        <v>0</v>
      </c>
      <c r="Q216" s="127">
        <f t="shared" si="98"/>
        <v>0</v>
      </c>
      <c r="R216" s="127">
        <f t="shared" si="99"/>
        <v>3.4333583314551902E-7</v>
      </c>
      <c r="S216" s="127">
        <f t="shared" si="100"/>
        <v>1.6336806058362554E-5</v>
      </c>
    </row>
    <row r="217" spans="2:19">
      <c r="B217" s="136">
        <f t="shared" si="84"/>
        <v>11</v>
      </c>
      <c r="C217" s="35">
        <f t="shared" si="84"/>
        <v>141.70419894978411</v>
      </c>
      <c r="D217" s="36">
        <f t="shared" si="85"/>
        <v>61787.622262563513</v>
      </c>
      <c r="E217" s="35">
        <f t="shared" si="86"/>
        <v>106.90052891462679</v>
      </c>
      <c r="F217" s="35">
        <f t="shared" si="87"/>
        <v>1.7745910026607807</v>
      </c>
      <c r="G217" s="35">
        <f t="shared" si="88"/>
        <v>11.324895589659567</v>
      </c>
      <c r="H217" s="127" t="b">
        <f t="shared" si="89"/>
        <v>0</v>
      </c>
      <c r="I217" s="127">
        <f t="shared" si="90"/>
        <v>1.3462988775751869E-10</v>
      </c>
      <c r="J217" s="127">
        <f t="shared" si="91"/>
        <v>7.7336789253825306E-5</v>
      </c>
      <c r="K217" s="127">
        <f t="shared" si="92"/>
        <v>0.12373886280612049</v>
      </c>
      <c r="L217" s="127">
        <f t="shared" si="93"/>
        <v>6.2616771962396252</v>
      </c>
      <c r="M217" s="127">
        <f t="shared" si="94"/>
        <v>3.8997338883159427E-6</v>
      </c>
      <c r="N217" s="127">
        <f t="shared" si="95"/>
        <v>2.1066631661519663E-8</v>
      </c>
      <c r="O217" s="127">
        <f t="shared" si="96"/>
        <v>1.1921231081029825E-5</v>
      </c>
      <c r="P217" s="127">
        <f t="shared" si="97"/>
        <v>0</v>
      </c>
      <c r="Q217" s="127">
        <f t="shared" si="98"/>
        <v>0</v>
      </c>
      <c r="R217" s="127">
        <f t="shared" si="99"/>
        <v>3.4243971188040424E-7</v>
      </c>
      <c r="S217" s="127">
        <f t="shared" si="100"/>
        <v>1.618447131288769E-5</v>
      </c>
    </row>
    <row r="218" spans="2:19">
      <c r="B218" s="136">
        <f t="shared" si="84"/>
        <v>12</v>
      </c>
      <c r="C218" s="35">
        <f t="shared" si="84"/>
        <v>144.81546878700493</v>
      </c>
      <c r="D218" s="36">
        <f t="shared" si="85"/>
        <v>62357.286589467796</v>
      </c>
      <c r="E218" s="35">
        <f t="shared" si="86"/>
        <v>107.02101611769649</v>
      </c>
      <c r="F218" s="35">
        <f t="shared" si="87"/>
        <v>1.7528818259434957</v>
      </c>
      <c r="G218" s="35">
        <f t="shared" si="88"/>
        <v>11.308491794200357</v>
      </c>
      <c r="H218" s="127" t="b">
        <f t="shared" si="89"/>
        <v>0</v>
      </c>
      <c r="I218" s="127">
        <f t="shared" si="90"/>
        <v>1.3394943898123968E-10</v>
      </c>
      <c r="J218" s="127">
        <f t="shared" si="91"/>
        <v>7.9034802590735654E-5</v>
      </c>
      <c r="K218" s="127">
        <f t="shared" si="92"/>
        <v>0.12645568414517705</v>
      </c>
      <c r="L218" s="127">
        <f t="shared" si="93"/>
        <v>6.2365214431002123</v>
      </c>
      <c r="M218" s="127">
        <f t="shared" si="94"/>
        <v>3.8006202877864859E-6</v>
      </c>
      <c r="N218" s="127">
        <f t="shared" si="95"/>
        <v>2.1086173035235426E-8</v>
      </c>
      <c r="O218" s="127">
        <f t="shared" si="96"/>
        <v>1.187333855370945E-5</v>
      </c>
      <c r="P218" s="127">
        <f t="shared" si="97"/>
        <v>0</v>
      </c>
      <c r="Q218" s="127">
        <f t="shared" si="98"/>
        <v>0</v>
      </c>
      <c r="R218" s="127">
        <f t="shared" si="99"/>
        <v>3.4157323320543057E-7</v>
      </c>
      <c r="S218" s="127">
        <f t="shared" si="100"/>
        <v>1.6036618247736599E-5</v>
      </c>
    </row>
    <row r="219" spans="2:19">
      <c r="B219" s="136">
        <f t="shared" si="84"/>
        <v>13</v>
      </c>
      <c r="C219" s="35">
        <f t="shared" si="84"/>
        <v>147.92673862422575</v>
      </c>
      <c r="D219" s="36">
        <f t="shared" si="85"/>
        <v>62920.924078997901</v>
      </c>
      <c r="E219" s="35">
        <f t="shared" si="86"/>
        <v>107.11895098129732</v>
      </c>
      <c r="F219" s="35">
        <f t="shared" si="87"/>
        <v>1.7316404981381197</v>
      </c>
      <c r="G219" s="35">
        <f t="shared" si="88"/>
        <v>11.290824243768338</v>
      </c>
      <c r="H219" s="127" t="b">
        <f t="shared" si="89"/>
        <v>0</v>
      </c>
      <c r="I219" s="127">
        <f t="shared" si="90"/>
        <v>1.3329257959644921E-10</v>
      </c>
      <c r="J219" s="127">
        <f t="shared" si="91"/>
        <v>8.0732815927645989E-5</v>
      </c>
      <c r="K219" s="127">
        <f t="shared" si="92"/>
        <v>0.12917250548423359</v>
      </c>
      <c r="L219" s="127">
        <f t="shared" si="93"/>
        <v>6.2113656899608003</v>
      </c>
      <c r="M219" s="127">
        <f t="shared" si="94"/>
        <v>3.7056759018108495E-6</v>
      </c>
      <c r="N219" s="127">
        <f t="shared" si="95"/>
        <v>2.1107667115737622E-8</v>
      </c>
      <c r="O219" s="127">
        <f t="shared" si="96"/>
        <v>1.1825446026389075E-5</v>
      </c>
      <c r="P219" s="127">
        <f t="shared" si="97"/>
        <v>0</v>
      </c>
      <c r="Q219" s="127">
        <f t="shared" si="98"/>
        <v>0</v>
      </c>
      <c r="R219" s="127">
        <f t="shared" si="99"/>
        <v>3.4073470292778342E-7</v>
      </c>
      <c r="S219" s="127">
        <f t="shared" si="100"/>
        <v>1.5892964298243445E-5</v>
      </c>
    </row>
    <row r="220" spans="2:19">
      <c r="B220" s="136">
        <f t="shared" si="84"/>
        <v>14</v>
      </c>
      <c r="C220" s="35">
        <f t="shared" si="84"/>
        <v>151.03800846144657</v>
      </c>
      <c r="D220" s="36">
        <f t="shared" si="85"/>
        <v>63478.963925672339</v>
      </c>
      <c r="E220" s="35">
        <f t="shared" si="86"/>
        <v>107.19540253646522</v>
      </c>
      <c r="F220" s="35">
        <f t="shared" si="87"/>
        <v>1.7108488888378675</v>
      </c>
      <c r="G220" s="35">
        <f t="shared" si="88"/>
        <v>11.271957667276341</v>
      </c>
      <c r="H220" s="127" t="b">
        <f t="shared" si="89"/>
        <v>0</v>
      </c>
      <c r="I220" s="127">
        <f t="shared" si="90"/>
        <v>1.3265793384644389E-10</v>
      </c>
      <c r="J220" s="127">
        <f t="shared" si="91"/>
        <v>8.2430829264556338E-5</v>
      </c>
      <c r="K220" s="127">
        <f t="shared" si="92"/>
        <v>0.13188932682329013</v>
      </c>
      <c r="L220" s="127">
        <f t="shared" si="93"/>
        <v>6.1862099368213874</v>
      </c>
      <c r="M220" s="127">
        <f t="shared" si="94"/>
        <v>3.6146430822986285E-6</v>
      </c>
      <c r="N220" s="127">
        <f t="shared" si="95"/>
        <v>2.1131035128339117E-8</v>
      </c>
      <c r="O220" s="127">
        <f t="shared" si="96"/>
        <v>1.1777553499068701E-5</v>
      </c>
      <c r="P220" s="127">
        <f t="shared" si="97"/>
        <v>0</v>
      </c>
      <c r="Q220" s="127">
        <f t="shared" si="98"/>
        <v>0</v>
      </c>
      <c r="R220" s="127">
        <f t="shared" si="99"/>
        <v>3.3992256526379187E-7</v>
      </c>
      <c r="S220" s="127">
        <f t="shared" si="100"/>
        <v>1.5753250181759461E-5</v>
      </c>
    </row>
    <row r="221" spans="2:19">
      <c r="B221" s="136">
        <f t="shared" si="84"/>
        <v>15</v>
      </c>
      <c r="C221" s="35">
        <f t="shared" si="84"/>
        <v>154.14927829866738</v>
      </c>
      <c r="D221" s="36">
        <f t="shared" si="85"/>
        <v>64031.810809711045</v>
      </c>
      <c r="E221" s="35">
        <f t="shared" si="86"/>
        <v>107.25137320416958</v>
      </c>
      <c r="F221" s="35">
        <f t="shared" si="87"/>
        <v>1.6904898495619147</v>
      </c>
      <c r="G221" s="35">
        <f t="shared" si="88"/>
        <v>11.251952420340327</v>
      </c>
      <c r="H221" s="127" t="b">
        <f t="shared" si="89"/>
        <v>0</v>
      </c>
      <c r="I221" s="127">
        <f t="shared" si="90"/>
        <v>1.3204423890611698E-10</v>
      </c>
      <c r="J221" s="127">
        <f t="shared" si="91"/>
        <v>8.4128842601466673E-5</v>
      </c>
      <c r="K221" s="127">
        <f t="shared" si="92"/>
        <v>0.13460614816234667</v>
      </c>
      <c r="L221" s="127">
        <f t="shared" si="93"/>
        <v>6.1610541836819745</v>
      </c>
      <c r="M221" s="127">
        <f t="shared" si="94"/>
        <v>3.5272849821061667E-6</v>
      </c>
      <c r="N221" s="127">
        <f t="shared" si="95"/>
        <v>2.1156205321006806E-8</v>
      </c>
      <c r="O221" s="127">
        <f t="shared" si="96"/>
        <v>1.1729660971748323E-5</v>
      </c>
      <c r="P221" s="127">
        <f t="shared" si="97"/>
        <v>0</v>
      </c>
      <c r="Q221" s="127">
        <f t="shared" si="98"/>
        <v>0</v>
      </c>
      <c r="R221" s="127">
        <f t="shared" si="99"/>
        <v>3.3913538813966345E-7</v>
      </c>
      <c r="S221" s="127">
        <f t="shared" si="100"/>
        <v>1.5617237547315158E-5</v>
      </c>
    </row>
    <row r="222" spans="2:19">
      <c r="B222" s="136">
        <f t="shared" si="84"/>
        <v>16</v>
      </c>
      <c r="C222" s="35">
        <f t="shared" si="84"/>
        <v>157.2605481358882</v>
      </c>
      <c r="D222" s="36">
        <f t="shared" si="85"/>
        <v>64579.846823700667</v>
      </c>
      <c r="E222" s="35">
        <f t="shared" si="86"/>
        <v>107.28780390891222</v>
      </c>
      <c r="F222" s="35">
        <f t="shared" si="87"/>
        <v>1.6705471461450199</v>
      </c>
      <c r="G222" s="35">
        <f t="shared" si="88"/>
        <v>11.230864850590214</v>
      </c>
      <c r="H222" s="127" t="b">
        <f t="shared" si="89"/>
        <v>0</v>
      </c>
      <c r="I222" s="127">
        <f t="shared" si="90"/>
        <v>1.314503329492655E-10</v>
      </c>
      <c r="J222" s="127">
        <f t="shared" si="91"/>
        <v>8.5826855938377007E-5</v>
      </c>
      <c r="K222" s="127">
        <f t="shared" si="92"/>
        <v>0.13732296950140321</v>
      </c>
      <c r="L222" s="127">
        <f t="shared" si="93"/>
        <v>6.1358984305425626</v>
      </c>
      <c r="M222" s="127">
        <f t="shared" si="94"/>
        <v>3.4433834973889466E-6</v>
      </c>
      <c r="N222" s="127">
        <f t="shared" si="95"/>
        <v>2.1183112237061944E-8</v>
      </c>
      <c r="O222" s="127">
        <f t="shared" si="96"/>
        <v>1.1681768444427948E-5</v>
      </c>
      <c r="P222" s="127">
        <f t="shared" si="97"/>
        <v>0</v>
      </c>
      <c r="Q222" s="127">
        <f t="shared" si="98"/>
        <v>0</v>
      </c>
      <c r="R222" s="127">
        <f t="shared" si="99"/>
        <v>3.3837185040717574E-7</v>
      </c>
      <c r="S222" s="127">
        <f t="shared" si="100"/>
        <v>1.5484706904461131E-5</v>
      </c>
    </row>
    <row r="223" spans="2:19">
      <c r="B223" s="136">
        <f t="shared" si="84"/>
        <v>17</v>
      </c>
      <c r="C223" s="35">
        <f t="shared" si="84"/>
        <v>160.37181797310902</v>
      </c>
      <c r="D223" s="36">
        <f t="shared" si="85"/>
        <v>65123.433225203109</v>
      </c>
      <c r="E223" s="35">
        <f t="shared" si="86"/>
        <v>107.30557872784465</v>
      </c>
      <c r="F223" s="35">
        <f t="shared" si="87"/>
        <v>1.6510053967363121</v>
      </c>
      <c r="G223" s="35">
        <f t="shared" si="88"/>
        <v>11.208747626754533</v>
      </c>
      <c r="H223" s="127" t="b">
        <f t="shared" si="89"/>
        <v>0</v>
      </c>
      <c r="I223" s="127">
        <f t="shared" si="90"/>
        <v>1.3087514475264151E-10</v>
      </c>
      <c r="J223" s="127">
        <f t="shared" si="91"/>
        <v>8.7524869275287356E-5</v>
      </c>
      <c r="K223" s="127">
        <f t="shared" si="92"/>
        <v>0.14003979084045978</v>
      </c>
      <c r="L223" s="127">
        <f t="shared" si="93"/>
        <v>6.1107426774031497</v>
      </c>
      <c r="M223" s="127">
        <f t="shared" si="94"/>
        <v>3.3627374494685145E-6</v>
      </c>
      <c r="N223" s="127">
        <f t="shared" si="95"/>
        <v>2.1211696081718639E-8</v>
      </c>
      <c r="O223" s="127">
        <f t="shared" si="96"/>
        <v>1.1633875917107574E-5</v>
      </c>
      <c r="P223" s="127">
        <f t="shared" si="97"/>
        <v>0</v>
      </c>
      <c r="Q223" s="127">
        <f t="shared" si="98"/>
        <v>0</v>
      </c>
      <c r="R223" s="127">
        <f t="shared" si="99"/>
        <v>3.3763073068010826E-7</v>
      </c>
      <c r="S223" s="127">
        <f t="shared" si="100"/>
        <v>1.5355455793337915E-5</v>
      </c>
    </row>
    <row r="224" spans="2:19">
      <c r="B224" s="136">
        <f t="shared" si="84"/>
        <v>18</v>
      </c>
      <c r="C224" s="35">
        <f t="shared" si="84"/>
        <v>163.48308781032983</v>
      </c>
      <c r="D224" s="36">
        <f t="shared" si="85"/>
        <v>65662.912033543384</v>
      </c>
      <c r="E224" s="35">
        <f t="shared" si="86"/>
        <v>107.30552912395946</v>
      </c>
      <c r="F224" s="35">
        <f t="shared" si="87"/>
        <v>1.6318500148660553</v>
      </c>
      <c r="G224" s="35">
        <f t="shared" si="88"/>
        <v>11.185650035666157</v>
      </c>
      <c r="H224" s="127" t="b">
        <f t="shared" si="89"/>
        <v>0</v>
      </c>
      <c r="I224" s="127">
        <f t="shared" si="90"/>
        <v>1.3031768460431308E-10</v>
      </c>
      <c r="J224" s="127">
        <f t="shared" si="91"/>
        <v>8.9222882612197691E-5</v>
      </c>
      <c r="K224" s="127">
        <f t="shared" si="92"/>
        <v>0.1427566121795163</v>
      </c>
      <c r="L224" s="127">
        <f t="shared" si="93"/>
        <v>6.0855869242637377</v>
      </c>
      <c r="M224" s="127">
        <f t="shared" si="94"/>
        <v>3.2851609743062998E-6</v>
      </c>
      <c r="N224" s="127">
        <f t="shared" si="95"/>
        <v>2.1241902168279454E-8</v>
      </c>
      <c r="O224" s="127">
        <f t="shared" si="96"/>
        <v>1.1585983389787197E-5</v>
      </c>
      <c r="P224" s="127">
        <f t="shared" si="97"/>
        <v>0</v>
      </c>
      <c r="Q224" s="127">
        <f t="shared" si="98"/>
        <v>0</v>
      </c>
      <c r="R224" s="127">
        <f t="shared" si="99"/>
        <v>3.3691089754901916E-7</v>
      </c>
      <c r="S224" s="127">
        <f t="shared" si="100"/>
        <v>1.5229297163810795E-5</v>
      </c>
    </row>
    <row r="225" spans="2:19">
      <c r="B225" s="136">
        <f t="shared" si="84"/>
        <v>19</v>
      </c>
      <c r="C225" s="35">
        <f t="shared" si="84"/>
        <v>166.59435764755065</v>
      </c>
      <c r="D225" s="36">
        <f t="shared" si="85"/>
        <v>66198.60748686119</v>
      </c>
      <c r="E225" s="35">
        <f t="shared" si="86"/>
        <v>107.2884378061852</v>
      </c>
      <c r="F225" s="35">
        <f t="shared" si="87"/>
        <v>1.6130671570983712</v>
      </c>
      <c r="G225" s="35">
        <f t="shared" si="88"/>
        <v>11.161618250799151</v>
      </c>
      <c r="H225" s="127" t="b">
        <f t="shared" si="89"/>
        <v>0</v>
      </c>
      <c r="I225" s="127">
        <f t="shared" si="90"/>
        <v>1.2977703632409579E-10</v>
      </c>
      <c r="J225" s="127">
        <f t="shared" si="91"/>
        <v>9.0920895949108039E-5</v>
      </c>
      <c r="K225" s="127">
        <f t="shared" si="92"/>
        <v>0.14547343351857286</v>
      </c>
      <c r="L225" s="127">
        <f t="shared" si="93"/>
        <v>6.0604311711243248</v>
      </c>
      <c r="M225" s="127">
        <f t="shared" si="94"/>
        <v>3.2104820924438621E-6</v>
      </c>
      <c r="N225" s="127">
        <f t="shared" si="95"/>
        <v>2.1273680432261215E-8</v>
      </c>
      <c r="O225" s="127">
        <f t="shared" si="96"/>
        <v>1.1538090862466823E-5</v>
      </c>
      <c r="P225" s="127">
        <f t="shared" si="97"/>
        <v>0</v>
      </c>
      <c r="Q225" s="127">
        <f t="shared" si="98"/>
        <v>0</v>
      </c>
      <c r="R225" s="127">
        <f t="shared" si="99"/>
        <v>3.3621130097354803E-7</v>
      </c>
      <c r="S225" s="127">
        <f t="shared" si="100"/>
        <v>1.5106057936316493E-5</v>
      </c>
    </row>
    <row r="226" spans="2:19">
      <c r="B226" s="136">
        <f t="shared" si="84"/>
        <v>20</v>
      </c>
      <c r="C226" s="35">
        <f t="shared" si="84"/>
        <v>169.70562748477141</v>
      </c>
      <c r="D226" s="36">
        <f t="shared" si="85"/>
        <v>66730.827373641383</v>
      </c>
      <c r="E226" s="35">
        <f t="shared" si="86"/>
        <v>107.25504225423843</v>
      </c>
      <c r="F226" s="35">
        <f t="shared" si="87"/>
        <v>1.5946436748399093</v>
      </c>
      <c r="G226" s="35">
        <f t="shared" si="88"/>
        <v>11.136695575487375</v>
      </c>
      <c r="H226" s="127" t="b">
        <f t="shared" si="89"/>
        <v>0</v>
      </c>
      <c r="I226" s="127">
        <f t="shared" si="90"/>
        <v>1.2925235023622372E-10</v>
      </c>
      <c r="J226" s="127">
        <f t="shared" si="91"/>
        <v>9.2618909286018347E-5</v>
      </c>
      <c r="K226" s="127">
        <f t="shared" si="92"/>
        <v>0.14819025485762935</v>
      </c>
      <c r="L226" s="127">
        <f t="shared" si="93"/>
        <v>6.0352754179849128</v>
      </c>
      <c r="M226" s="127">
        <f t="shared" si="94"/>
        <v>3.1385414362497147E-6</v>
      </c>
      <c r="N226" s="127">
        <f t="shared" si="95"/>
        <v>2.130698500370187E-8</v>
      </c>
      <c r="O226" s="127">
        <f t="shared" si="96"/>
        <v>1.1490198335146448E-5</v>
      </c>
      <c r="P226" s="127">
        <f t="shared" si="97"/>
        <v>0</v>
      </c>
      <c r="Q226" s="127">
        <f t="shared" si="98"/>
        <v>0</v>
      </c>
      <c r="R226" s="127">
        <f t="shared" si="99"/>
        <v>3.3553096468499633E-7</v>
      </c>
      <c r="S226" s="127">
        <f t="shared" si="100"/>
        <v>1.498557772108486E-5</v>
      </c>
    </row>
    <row r="227" spans="2:19">
      <c r="H227" s="129"/>
      <c r="I227" s="129"/>
      <c r="J227" s="129"/>
      <c r="K227" s="129"/>
      <c r="L227" s="129"/>
      <c r="M227" s="129"/>
      <c r="N227" s="129"/>
      <c r="O227" s="129"/>
      <c r="P227" s="129"/>
      <c r="Q227" s="129"/>
      <c r="R227" s="129"/>
      <c r="S227" s="129"/>
    </row>
  </sheetData>
  <sheetProtection password="ED9D" sheet="1" objects="1" scenarios="1" selectLockedCells="1"/>
  <customSheetViews>
    <customSheetView guid="{DD33061B-782C-4C0C-B878-DD0814D9D48F}" hiddenRows="1" showRuler="0">
      <selection activeCell="M102" sqref="M102"/>
      <pageMargins left="0.75" right="0.75" top="1" bottom="1" header="0.5" footer="0.5"/>
      <pageSetup orientation="portrait" r:id="rId1"/>
      <headerFooter alignWithMargins="0"/>
    </customSheetView>
  </customSheetViews>
  <mergeCells count="18">
    <mergeCell ref="B204:B205"/>
    <mergeCell ref="B86:B87"/>
    <mergeCell ref="I86:I87"/>
    <mergeCell ref="E135:E136"/>
    <mergeCell ref="B135:B136"/>
    <mergeCell ref="B178:B179"/>
    <mergeCell ref="E178:E179"/>
    <mergeCell ref="B203:G203"/>
    <mergeCell ref="B161:J161"/>
    <mergeCell ref="B118:J118"/>
    <mergeCell ref="B85:L85"/>
    <mergeCell ref="D53:E53"/>
    <mergeCell ref="A1:K2"/>
    <mergeCell ref="B3:I3"/>
    <mergeCell ref="A4:K4"/>
    <mergeCell ref="A45:E46"/>
    <mergeCell ref="A49:E49"/>
    <mergeCell ref="G53:L59"/>
  </mergeCells>
  <phoneticPr fontId="2" type="noConversion"/>
  <pageMargins left="0.75" right="0.75" top="1" bottom="1" header="0.5" footer="0.5"/>
  <pageSetup orientation="portrait" r:id="rId2"/>
  <headerFooter alignWithMargins="0"/>
  <drawing r:id="rId3"/>
  <legacyDrawing r:id="rId4"/>
  <oleObjects>
    <oleObject progId="Visio.Drawing.6" shapeId="9132" r:id="rId5"/>
  </oleObjects>
</worksheet>
</file>

<file path=xl/worksheets/sheet5.xml><?xml version="1.0" encoding="utf-8"?>
<worksheet xmlns="http://schemas.openxmlformats.org/spreadsheetml/2006/main" xmlns:r="http://schemas.openxmlformats.org/officeDocument/2006/relationships">
  <sheetPr>
    <pageSetUpPr fitToPage="1"/>
  </sheetPr>
  <dimension ref="A1:F61"/>
  <sheetViews>
    <sheetView workbookViewId="0">
      <selection activeCell="A37" sqref="A37:F37"/>
    </sheetView>
  </sheetViews>
  <sheetFormatPr defaultRowHeight="12.75"/>
  <cols>
    <col min="1" max="1" width="46.7109375" style="32" customWidth="1"/>
    <col min="2" max="16384" width="9.140625" style="32"/>
  </cols>
  <sheetData>
    <row r="1" spans="1:6" s="55" customFormat="1" ht="49.5" customHeight="1">
      <c r="A1" s="184" t="s">
        <v>465</v>
      </c>
      <c r="B1" s="184"/>
      <c r="C1" s="184"/>
      <c r="D1" s="184"/>
      <c r="E1" s="184"/>
      <c r="F1" s="184"/>
    </row>
    <row r="2" spans="1:6" s="55" customFormat="1" ht="68.25" customHeight="1">
      <c r="A2" s="177" t="s">
        <v>478</v>
      </c>
      <c r="B2" s="177"/>
      <c r="C2" s="177"/>
      <c r="D2" s="177"/>
      <c r="E2" s="177"/>
      <c r="F2" s="177"/>
    </row>
    <row r="3" spans="1:6">
      <c r="A3" s="181"/>
      <c r="B3" s="181"/>
      <c r="C3" s="181"/>
      <c r="D3" s="181"/>
      <c r="E3" s="181"/>
      <c r="F3" s="181"/>
    </row>
    <row r="4" spans="1:6">
      <c r="A4" s="180" t="s">
        <v>9</v>
      </c>
      <c r="B4" s="180"/>
      <c r="C4" s="180"/>
      <c r="D4" s="180"/>
      <c r="E4" s="180"/>
      <c r="F4" s="180"/>
    </row>
    <row r="5" spans="1:6">
      <c r="A5" s="32" t="s">
        <v>466</v>
      </c>
      <c r="B5" s="178" t="s">
        <v>467</v>
      </c>
      <c r="C5" s="178"/>
      <c r="D5" s="178"/>
      <c r="E5" s="178"/>
      <c r="F5" s="178"/>
    </row>
    <row r="6" spans="1:6">
      <c r="A6" s="32" t="s">
        <v>468</v>
      </c>
      <c r="B6" s="32">
        <f ca="1">'QR Design Tool'!C10</f>
        <v>52</v>
      </c>
      <c r="C6" s="178" t="s">
        <v>107</v>
      </c>
      <c r="D6" s="178"/>
      <c r="E6" s="178"/>
      <c r="F6" s="178"/>
    </row>
    <row r="7" spans="1:6">
      <c r="A7" s="32" t="s">
        <v>469</v>
      </c>
      <c r="B7" s="32">
        <f ca="1">'QR Design Tool'!C12</f>
        <v>0.8</v>
      </c>
      <c r="C7" s="179"/>
      <c r="D7" s="179"/>
      <c r="E7" s="179"/>
      <c r="F7" s="179"/>
    </row>
    <row r="8" spans="1:6">
      <c r="A8" s="32" t="s">
        <v>472</v>
      </c>
      <c r="B8" s="45">
        <v>130000</v>
      </c>
      <c r="C8" s="178" t="s">
        <v>112</v>
      </c>
      <c r="D8" s="178"/>
      <c r="E8" s="178"/>
      <c r="F8" s="178"/>
    </row>
    <row r="9" spans="1:6">
      <c r="A9" s="32" t="s">
        <v>473</v>
      </c>
      <c r="B9" s="56" t="s">
        <v>491</v>
      </c>
    </row>
    <row r="10" spans="1:6">
      <c r="A10" s="179"/>
      <c r="B10" s="179"/>
      <c r="C10" s="179"/>
      <c r="D10" s="179"/>
      <c r="E10" s="179"/>
      <c r="F10" s="179"/>
    </row>
    <row r="11" spans="1:6">
      <c r="A11" s="180" t="s">
        <v>10</v>
      </c>
      <c r="B11" s="180"/>
      <c r="C11" s="180"/>
      <c r="D11" s="180"/>
      <c r="E11" s="180"/>
      <c r="F11" s="180"/>
    </row>
    <row r="12" spans="1:6">
      <c r="A12" s="32" t="s">
        <v>470</v>
      </c>
      <c r="B12" s="57">
        <f ca="1">'QR Design Tool'!F15</f>
        <v>107.48023074035522</v>
      </c>
      <c r="C12" s="178" t="s">
        <v>111</v>
      </c>
      <c r="D12" s="178"/>
      <c r="E12" s="178"/>
      <c r="F12" s="178"/>
    </row>
    <row r="13" spans="1:6">
      <c r="A13" s="32" t="s">
        <v>471</v>
      </c>
      <c r="B13" s="57">
        <f ca="1">'QR Design Tool'!F16</f>
        <v>169.70562748477141</v>
      </c>
      <c r="C13" s="178" t="s">
        <v>111</v>
      </c>
      <c r="D13" s="178"/>
      <c r="E13" s="178"/>
      <c r="F13" s="178"/>
    </row>
    <row r="14" spans="1:6">
      <c r="A14" s="32" t="s">
        <v>479</v>
      </c>
      <c r="B14" s="57" t="e">
        <f ca="1">'QR Simulator'!E113</f>
        <v>#NAME?</v>
      </c>
      <c r="C14" s="178" t="s">
        <v>122</v>
      </c>
      <c r="D14" s="178"/>
      <c r="E14" s="178"/>
      <c r="F14" s="178"/>
    </row>
    <row r="15" spans="1:6">
      <c r="A15" s="32" t="s">
        <v>480</v>
      </c>
      <c r="B15" s="57" t="e">
        <f ca="1">'QR Simulator'!K113</f>
        <v>#NAME?</v>
      </c>
      <c r="C15" s="178" t="s">
        <v>122</v>
      </c>
      <c r="D15" s="178"/>
      <c r="E15" s="178"/>
      <c r="F15" s="178"/>
    </row>
    <row r="16" spans="1:6">
      <c r="A16" s="32" t="s">
        <v>482</v>
      </c>
      <c r="B16" s="57">
        <f ca="1">'QR Design Tool'!M98</f>
        <v>0.60766374825107539</v>
      </c>
      <c r="C16" s="179"/>
      <c r="D16" s="179"/>
      <c r="E16" s="179"/>
      <c r="F16" s="179"/>
    </row>
    <row r="17" spans="1:6">
      <c r="A17" s="32" t="s">
        <v>483</v>
      </c>
      <c r="B17" s="57">
        <f ca="1">'QR Design Tool'!M118</f>
        <v>0.49044356277465656</v>
      </c>
      <c r="C17" s="179"/>
      <c r="D17" s="179"/>
      <c r="E17" s="179"/>
      <c r="F17" s="179"/>
    </row>
    <row r="18" spans="1:6">
      <c r="A18" s="179"/>
      <c r="B18" s="179"/>
      <c r="C18" s="179"/>
      <c r="D18" s="179"/>
      <c r="E18" s="179"/>
      <c r="F18" s="179"/>
    </row>
    <row r="19" spans="1:6">
      <c r="A19" s="180" t="s">
        <v>474</v>
      </c>
      <c r="B19" s="180"/>
      <c r="C19" s="180"/>
      <c r="D19" s="180"/>
      <c r="E19" s="180"/>
      <c r="F19" s="180"/>
    </row>
    <row r="20" spans="1:6">
      <c r="A20" s="32" t="s">
        <v>481</v>
      </c>
      <c r="B20" s="32">
        <f ca="1">'QR Design Tool'!C19</f>
        <v>12</v>
      </c>
      <c r="C20" s="178" t="s">
        <v>111</v>
      </c>
      <c r="D20" s="178"/>
      <c r="E20" s="178"/>
      <c r="F20" s="178"/>
    </row>
    <row r="21" spans="1:6">
      <c r="A21" s="32" t="s">
        <v>484</v>
      </c>
      <c r="B21" s="57">
        <f ca="1">'QR Design Tool'!G98*'QR Design Tool'!C84</f>
        <v>32.421294663910608</v>
      </c>
      <c r="C21" s="178" t="s">
        <v>122</v>
      </c>
      <c r="D21" s="178"/>
      <c r="E21" s="178"/>
      <c r="F21" s="178"/>
    </row>
    <row r="22" spans="1:6">
      <c r="A22" s="32" t="s">
        <v>485</v>
      </c>
      <c r="B22" s="34">
        <f ca="1">'QR Design Tool'!L98</f>
        <v>10.517786842325119</v>
      </c>
      <c r="C22" s="178" t="s">
        <v>122</v>
      </c>
      <c r="D22" s="178"/>
      <c r="E22" s="178"/>
      <c r="F22" s="178"/>
    </row>
    <row r="23" spans="1:6">
      <c r="A23" s="32" t="s">
        <v>486</v>
      </c>
      <c r="B23" s="32">
        <f ca="1">'QR Design Tool'!C25</f>
        <v>20</v>
      </c>
      <c r="C23" s="178" t="s">
        <v>111</v>
      </c>
      <c r="D23" s="178"/>
      <c r="E23" s="178"/>
      <c r="F23" s="178"/>
    </row>
    <row r="24" spans="1:6">
      <c r="A24" s="32" t="s">
        <v>487</v>
      </c>
      <c r="B24" s="45">
        <f ca="1">3*((0.007)+('QR Design Tool'!C18*'QR Design Tool'!C37))+('QR Design Tool'!C25/('QR Design Tool'!C90+'QR Design Tool'!C91))</f>
        <v>2.6001610289433433E-2</v>
      </c>
      <c r="C24" s="178" t="s">
        <v>122</v>
      </c>
      <c r="D24" s="178"/>
      <c r="E24" s="178"/>
      <c r="F24" s="178"/>
    </row>
    <row r="25" spans="1:6">
      <c r="A25" s="179"/>
      <c r="B25" s="179"/>
      <c r="C25" s="179"/>
      <c r="D25" s="179"/>
      <c r="E25" s="179"/>
      <c r="F25" s="179"/>
    </row>
    <row r="26" spans="1:6">
      <c r="A26" s="180" t="s">
        <v>490</v>
      </c>
      <c r="B26" s="180"/>
      <c r="C26" s="180"/>
      <c r="D26" s="180"/>
      <c r="E26" s="180"/>
      <c r="F26" s="180"/>
    </row>
    <row r="27" spans="1:6">
      <c r="A27" s="32" t="s">
        <v>5</v>
      </c>
      <c r="B27" s="45">
        <f ca="1">'QR Simulator'!E42</f>
        <v>4.5963297045675708E-4</v>
      </c>
      <c r="C27" s="178" t="s">
        <v>120</v>
      </c>
      <c r="D27" s="178"/>
      <c r="E27" s="178"/>
      <c r="F27" s="178"/>
    </row>
    <row r="28" spans="1:6">
      <c r="A28" s="32" t="s">
        <v>6</v>
      </c>
      <c r="B28" s="45">
        <f ca="1">'QR Simulator'!B43</f>
        <v>2.1525000000000001E-6</v>
      </c>
      <c r="C28" s="178" t="s">
        <v>120</v>
      </c>
      <c r="D28" s="178"/>
      <c r="E28" s="178"/>
      <c r="F28" s="178"/>
    </row>
    <row r="29" spans="1:6" ht="15.75">
      <c r="A29" s="32" t="s">
        <v>488</v>
      </c>
      <c r="B29" s="34">
        <f ca="1">'QR Simulator'!E47</f>
        <v>16.288418504736409</v>
      </c>
      <c r="C29" s="179"/>
      <c r="D29" s="179"/>
      <c r="E29" s="179"/>
      <c r="F29" s="179"/>
    </row>
    <row r="30" spans="1:6" ht="15.75">
      <c r="A30" s="32" t="s">
        <v>489</v>
      </c>
      <c r="B30" s="34">
        <f ca="1">'QR Simulator'!E50</f>
        <v>9.7730511028418459</v>
      </c>
      <c r="C30" s="179"/>
      <c r="D30" s="179"/>
      <c r="E30" s="179"/>
      <c r="F30" s="179"/>
    </row>
    <row r="31" spans="1:6">
      <c r="A31" s="32" t="s">
        <v>477</v>
      </c>
      <c r="B31" s="32">
        <v>1500</v>
      </c>
      <c r="C31" s="178" t="s">
        <v>111</v>
      </c>
      <c r="D31" s="178"/>
      <c r="E31" s="178"/>
      <c r="F31" s="178"/>
    </row>
    <row r="32" spans="1:6">
      <c r="A32" s="179"/>
      <c r="B32" s="179"/>
      <c r="C32" s="179"/>
      <c r="D32" s="179"/>
      <c r="E32" s="179"/>
      <c r="F32" s="179"/>
    </row>
    <row r="33" spans="1:6">
      <c r="A33" s="180" t="s">
        <v>492</v>
      </c>
      <c r="B33" s="180"/>
      <c r="C33" s="180"/>
      <c r="D33" s="180"/>
      <c r="E33" s="180"/>
      <c r="F33" s="180"/>
    </row>
    <row r="34" spans="1:6" ht="25.5" customHeight="1">
      <c r="A34" s="182" t="s">
        <v>521</v>
      </c>
      <c r="B34" s="183"/>
      <c r="C34" s="183"/>
      <c r="D34" s="183"/>
      <c r="E34" s="183"/>
      <c r="F34" s="183"/>
    </row>
    <row r="35" spans="1:6">
      <c r="A35" s="180" t="s">
        <v>493</v>
      </c>
      <c r="B35" s="178"/>
      <c r="C35" s="178"/>
      <c r="D35" s="178"/>
      <c r="E35" s="178"/>
      <c r="F35" s="178"/>
    </row>
    <row r="36" spans="1:6">
      <c r="A36" s="180" t="s">
        <v>494</v>
      </c>
      <c r="B36" s="178"/>
      <c r="C36" s="178"/>
      <c r="D36" s="178"/>
      <c r="E36" s="178"/>
      <c r="F36" s="178"/>
    </row>
    <row r="37" spans="1:6" ht="25.5" customHeight="1">
      <c r="A37" s="182" t="s">
        <v>495</v>
      </c>
      <c r="B37" s="183"/>
      <c r="C37" s="183"/>
      <c r="D37" s="183"/>
      <c r="E37" s="183"/>
      <c r="F37" s="183"/>
    </row>
    <row r="38" spans="1:6" ht="25.5" customHeight="1">
      <c r="A38" s="182" t="s">
        <v>496</v>
      </c>
      <c r="B38" s="183"/>
      <c r="C38" s="183"/>
      <c r="D38" s="183"/>
      <c r="E38" s="183"/>
      <c r="F38" s="183"/>
    </row>
    <row r="39" spans="1:6">
      <c r="A39" s="180" t="s">
        <v>497</v>
      </c>
      <c r="B39" s="178"/>
      <c r="C39" s="178"/>
      <c r="D39" s="178"/>
      <c r="E39" s="178"/>
      <c r="F39" s="178"/>
    </row>
    <row r="40" spans="1:6">
      <c r="A40" s="180" t="s">
        <v>498</v>
      </c>
      <c r="B40" s="178"/>
      <c r="C40" s="178"/>
      <c r="D40" s="178"/>
      <c r="E40" s="178"/>
      <c r="F40" s="178"/>
    </row>
    <row r="41" spans="1:6">
      <c r="A41" s="180" t="s">
        <v>499</v>
      </c>
      <c r="B41" s="178"/>
      <c r="C41" s="178"/>
      <c r="D41" s="178"/>
      <c r="E41" s="178"/>
      <c r="F41" s="178"/>
    </row>
    <row r="42" spans="1:6">
      <c r="A42" s="179"/>
      <c r="B42" s="179"/>
      <c r="C42" s="179"/>
      <c r="D42" s="179"/>
      <c r="E42" s="179"/>
      <c r="F42" s="179"/>
    </row>
    <row r="43" spans="1:6">
      <c r="A43" s="179"/>
      <c r="B43" s="179"/>
      <c r="C43" s="179"/>
      <c r="D43" s="179"/>
      <c r="E43" s="179"/>
      <c r="F43" s="179"/>
    </row>
    <row r="44" spans="1:6">
      <c r="A44" s="179"/>
      <c r="B44" s="179"/>
      <c r="C44" s="179"/>
      <c r="D44" s="179"/>
      <c r="E44" s="179"/>
      <c r="F44" s="179"/>
    </row>
    <row r="45" spans="1:6">
      <c r="A45" s="179"/>
      <c r="B45" s="179"/>
      <c r="C45" s="179"/>
      <c r="D45" s="179"/>
      <c r="E45" s="179"/>
      <c r="F45" s="179"/>
    </row>
    <row r="46" spans="1:6">
      <c r="A46" s="179"/>
      <c r="B46" s="179"/>
      <c r="C46" s="179"/>
      <c r="D46" s="179"/>
      <c r="E46" s="179"/>
      <c r="F46" s="179"/>
    </row>
    <row r="47" spans="1:6">
      <c r="A47" s="179"/>
      <c r="B47" s="179"/>
      <c r="C47" s="179"/>
      <c r="D47" s="179"/>
      <c r="E47" s="179"/>
      <c r="F47" s="179"/>
    </row>
    <row r="48" spans="1:6">
      <c r="A48" s="179"/>
      <c r="B48" s="179"/>
      <c r="C48" s="179"/>
      <c r="D48" s="179"/>
      <c r="E48" s="179"/>
      <c r="F48" s="179"/>
    </row>
    <row r="49" spans="1:6">
      <c r="A49" s="179"/>
      <c r="B49" s="179"/>
      <c r="C49" s="179"/>
      <c r="D49" s="179"/>
      <c r="E49" s="179"/>
      <c r="F49" s="179"/>
    </row>
    <row r="50" spans="1:6">
      <c r="A50" s="179"/>
      <c r="B50" s="179"/>
      <c r="C50" s="179"/>
      <c r="D50" s="179"/>
      <c r="E50" s="179"/>
      <c r="F50" s="179"/>
    </row>
    <row r="51" spans="1:6">
      <c r="A51" s="179"/>
      <c r="B51" s="179"/>
      <c r="C51" s="179"/>
      <c r="D51" s="179"/>
      <c r="E51" s="179"/>
      <c r="F51" s="179"/>
    </row>
    <row r="52" spans="1:6">
      <c r="A52" s="179"/>
      <c r="B52" s="179"/>
      <c r="C52" s="179"/>
      <c r="D52" s="179"/>
      <c r="E52" s="179"/>
      <c r="F52" s="179"/>
    </row>
    <row r="53" spans="1:6">
      <c r="A53" s="179"/>
      <c r="B53" s="179"/>
      <c r="C53" s="179"/>
      <c r="D53" s="179"/>
      <c r="E53" s="179"/>
      <c r="F53" s="179"/>
    </row>
    <row r="54" spans="1:6">
      <c r="A54" s="179"/>
      <c r="B54" s="179"/>
      <c r="C54" s="179"/>
      <c r="D54" s="179"/>
      <c r="E54" s="179"/>
      <c r="F54" s="179"/>
    </row>
    <row r="55" spans="1:6" ht="28.5" customHeight="1">
      <c r="A55" s="177" t="s">
        <v>0</v>
      </c>
      <c r="B55" s="177"/>
      <c r="C55" s="177"/>
      <c r="D55" s="177"/>
      <c r="E55" s="177"/>
      <c r="F55" s="177"/>
    </row>
    <row r="56" spans="1:6">
      <c r="A56" s="179"/>
      <c r="B56" s="179"/>
      <c r="C56" s="179"/>
      <c r="D56" s="179"/>
      <c r="E56" s="179"/>
      <c r="F56" s="179"/>
    </row>
    <row r="57" spans="1:6">
      <c r="A57" s="179" t="s">
        <v>1</v>
      </c>
      <c r="B57" s="179"/>
      <c r="C57" s="179"/>
      <c r="D57" s="179"/>
      <c r="E57" s="179"/>
      <c r="F57" s="179"/>
    </row>
    <row r="61" spans="1:6">
      <c r="A61"/>
    </row>
  </sheetData>
  <sheetProtection password="ED9D" sheet="1" objects="1" scenarios="1" selectLockedCells="1" selectUnlockedCells="1"/>
  <mergeCells count="45">
    <mergeCell ref="A56:F56"/>
    <mergeCell ref="A39:F39"/>
    <mergeCell ref="C27:F27"/>
    <mergeCell ref="C28:F28"/>
    <mergeCell ref="C29:F29"/>
    <mergeCell ref="C30:F30"/>
    <mergeCell ref="C31:F31"/>
    <mergeCell ref="A32:F32"/>
    <mergeCell ref="A34:F34"/>
    <mergeCell ref="A35:F35"/>
    <mergeCell ref="A36:F36"/>
    <mergeCell ref="A57:F57"/>
    <mergeCell ref="A41:F41"/>
    <mergeCell ref="A42:F42"/>
    <mergeCell ref="A43:F54"/>
    <mergeCell ref="A55:F55"/>
    <mergeCell ref="A40:F40"/>
    <mergeCell ref="A37:F37"/>
    <mergeCell ref="A38:F38"/>
    <mergeCell ref="A1:F1"/>
    <mergeCell ref="A33:F33"/>
    <mergeCell ref="B5:F5"/>
    <mergeCell ref="C6:F6"/>
    <mergeCell ref="C8:F8"/>
    <mergeCell ref="A10:F10"/>
    <mergeCell ref="C12:F12"/>
    <mergeCell ref="C13:F13"/>
    <mergeCell ref="A25:F25"/>
    <mergeCell ref="A26:F26"/>
    <mergeCell ref="C17:F17"/>
    <mergeCell ref="A18:F18"/>
    <mergeCell ref="A19:F19"/>
    <mergeCell ref="C20:F20"/>
    <mergeCell ref="C21:F21"/>
    <mergeCell ref="C22:F22"/>
    <mergeCell ref="C23:F23"/>
    <mergeCell ref="C24:F24"/>
    <mergeCell ref="A2:F2"/>
    <mergeCell ref="C14:F14"/>
    <mergeCell ref="C15:F15"/>
    <mergeCell ref="C16:F16"/>
    <mergeCell ref="C7:F7"/>
    <mergeCell ref="A4:F4"/>
    <mergeCell ref="A11:F11"/>
    <mergeCell ref="A3:F3"/>
  </mergeCells>
  <phoneticPr fontId="2" type="noConversion"/>
  <printOptions horizontalCentered="1" verticalCentered="1"/>
  <pageMargins left="0.5" right="0.5" top="1" bottom="1" header="0" footer="0"/>
  <pageSetup scale="74" orientation="portrait" r:id="rId1"/>
  <headerFooter alignWithMargins="0"/>
  <legacyDrawing r:id="rId2"/>
  <oleObjects>
    <oleObject progId="Visio.Drawing.6" shapeId="52227"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Introduction</vt:lpstr>
      <vt:lpstr>Instructions</vt:lpstr>
      <vt:lpstr>QR Design Tool</vt:lpstr>
      <vt:lpstr>QR Simulator</vt:lpstr>
      <vt:lpstr>Magnetic Specification</vt:lpstr>
      <vt:lpstr>'Magnetic Specification'!Print_Area</vt:lpstr>
    </vt:vector>
  </TitlesOfParts>
  <Company>Texas Instruments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User</dc:creator>
  <cp:lastModifiedBy>FUJIELE</cp:lastModifiedBy>
  <cp:lastPrinted>2008-05-09T23:04:38Z</cp:lastPrinted>
  <dcterms:created xsi:type="dcterms:W3CDTF">2004-10-05T18:13:54Z</dcterms:created>
  <dcterms:modified xsi:type="dcterms:W3CDTF">2012-12-03T04:43:40Z</dcterms:modified>
</cp:coreProperties>
</file>