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esign - 24.5V @ 17A" sheetId="1" r:id="rId1"/>
  </sheets>
  <calcPr calcId="145621"/>
</workbook>
</file>

<file path=xl/calcChain.xml><?xml version="1.0" encoding="utf-8"?>
<calcChain xmlns="http://schemas.openxmlformats.org/spreadsheetml/2006/main">
  <c r="C496" i="1" l="1"/>
  <c r="D404" i="1"/>
  <c r="C153" i="1" l="1"/>
  <c r="D470" i="1" l="1"/>
  <c r="C431" i="1"/>
  <c r="K110" i="1" l="1"/>
  <c r="D391" i="1"/>
  <c r="C363" i="1"/>
  <c r="C339" i="1"/>
  <c r="C303" i="1"/>
  <c r="C240" i="1"/>
  <c r="C228" i="1"/>
  <c r="C122" i="1"/>
  <c r="C132" i="1" s="1"/>
  <c r="C136" i="1" s="1"/>
  <c r="C99" i="1"/>
  <c r="C127" i="1" l="1"/>
  <c r="C92" i="1"/>
  <c r="E10" i="1"/>
  <c r="D18" i="1" s="1"/>
  <c r="C105" i="1" s="1"/>
  <c r="C179" i="1" l="1"/>
  <c r="C202" i="1" s="1"/>
  <c r="C165" i="1"/>
  <c r="C147" i="1"/>
  <c r="C168" i="1" s="1"/>
  <c r="C141" i="1"/>
  <c r="C233" i="1" l="1"/>
  <c r="C425" i="1" s="1"/>
  <c r="C172" i="1"/>
  <c r="C234" i="1" s="1"/>
  <c r="C170" i="1"/>
  <c r="C217" i="1"/>
  <c r="C210" i="1"/>
  <c r="C232" i="1" s="1"/>
  <c r="C369" i="1"/>
  <c r="C159" i="1"/>
  <c r="C352" i="1" l="1"/>
  <c r="D327" i="1"/>
  <c r="C333" i="1" s="1"/>
  <c r="C185" i="1"/>
  <c r="C192" i="1" s="1"/>
  <c r="C230" i="1" l="1"/>
  <c r="C241" i="1"/>
  <c r="C312" i="1" l="1"/>
  <c r="C283" i="1"/>
  <c r="C284" i="1" s="1"/>
  <c r="C242" i="1"/>
  <c r="C294" i="1" l="1"/>
  <c r="C288" i="1"/>
</calcChain>
</file>

<file path=xl/sharedStrings.xml><?xml version="1.0" encoding="utf-8"?>
<sst xmlns="http://schemas.openxmlformats.org/spreadsheetml/2006/main" count="176" uniqueCount="147">
  <si>
    <t>LLC Design calculations for the UCC25600 controller</t>
  </si>
  <si>
    <t>-</t>
  </si>
  <si>
    <t>Max</t>
  </si>
  <si>
    <t>Min</t>
  </si>
  <si>
    <t>Switching frequency [f Hz]</t>
  </si>
  <si>
    <t>Input voltage range  [Vin Volts]</t>
  </si>
  <si>
    <t>Typ</t>
  </si>
  <si>
    <t>Output voltage  [Vout volts]</t>
  </si>
  <si>
    <t>Rated output current [Iout A]</t>
  </si>
  <si>
    <t>Rated output power [Pout W]</t>
  </si>
  <si>
    <t>Switching frequency during normal operation [f Hz]</t>
  </si>
  <si>
    <t>Output voltage line regulation [Iout = 1.0A]</t>
  </si>
  <si>
    <t>Output voltage load regulation [Vin = 390V]</t>
  </si>
  <si>
    <t>Output voltage peak to peak ripple [Vin = 390V &amp; Iout = 17A]</t>
  </si>
  <si>
    <t>Efficiency [Vin = 390V &amp; Iout = 17A]</t>
  </si>
  <si>
    <t>Block diagram</t>
  </si>
  <si>
    <t>Flow chart for design calculations</t>
  </si>
  <si>
    <t>Step 1: Determine Transformer Turns Ratio (n)</t>
  </si>
  <si>
    <t>Step 2: Determine Mg_min and Mg_max</t>
  </si>
  <si>
    <t>The secondary-side diode’s forward-voltage drop [VF V]</t>
  </si>
  <si>
    <t>Assumed for the voltage drop due to power losses [Vloss V]</t>
  </si>
  <si>
    <t>Step 3: Select Ln and Qe</t>
  </si>
  <si>
    <t>Ln = 3.5 is not shown in Fig. but it can be obtained by interpolating the curves of Ln = 3 and Ln = 4.</t>
  </si>
  <si>
    <t xml:space="preserve">Ln </t>
  </si>
  <si>
    <t>Qe</t>
  </si>
  <si>
    <t>Step 4: Determine the Equivalent Load Resistance (Re )</t>
  </si>
  <si>
    <t>At 110% overload,</t>
  </si>
  <si>
    <t>Ohm</t>
  </si>
  <si>
    <t>A switching frequency of 130 kHz may be selected initially for the series resonant frequency</t>
  </si>
  <si>
    <t>Step 5: Design Resonant Circuit’s Parameters - Cr, Lr, Lm</t>
  </si>
  <si>
    <t>Step 6: Verify the Resonant-Circuit Design</t>
  </si>
  <si>
    <t>130KHz</t>
  </si>
  <si>
    <t>Quality factor at 110% overload:</t>
  </si>
  <si>
    <t>The frequency at series resonance is f0 [Hz]</t>
  </si>
  <si>
    <t>The frequency at (Mg_min, fsw_max) is fn_max × f0 [Hz]</t>
  </si>
  <si>
    <t>Step 7: Determine the Primary-Side Currents</t>
  </si>
  <si>
    <t>The primary-side RMS load current (Ioe) with a 110% overload is</t>
  </si>
  <si>
    <t>The resonant circuit’s current (Ir) is</t>
  </si>
  <si>
    <t>A</t>
  </si>
  <si>
    <t>The RMS magnetizing current (Im) at fsw_min = 91 kHz</t>
  </si>
  <si>
    <t>120mV</t>
  </si>
  <si>
    <t>Step 8: Determine the Secondary-Side Currents</t>
  </si>
  <si>
    <t>The total secondary-side RMS load current is the current referred from the primary-side current (Ioe) to the secondary side:</t>
  </si>
  <si>
    <t>Since the transformer’s secondary side has a center-tapped configuration, this current is equally split into two transformer windings on the secondary side. The current of each winding is</t>
  </si>
  <si>
    <t>then calculated as</t>
  </si>
  <si>
    <t>Step 9: Select the Transformer</t>
  </si>
  <si>
    <t>The transformer can be built or purchased from a catalog. The specifications for this example are:</t>
  </si>
  <si>
    <t>Insulation between primary and secondary sides:</t>
  </si>
  <si>
    <t xml:space="preserve"> IEC60950 reinforced insulation</t>
  </si>
  <si>
    <t xml:space="preserve">Turns ratio (n): </t>
  </si>
  <si>
    <t xml:space="preserve">Primary terminal voltage: </t>
  </si>
  <si>
    <t>450 VAC</t>
  </si>
  <si>
    <t xml:space="preserve">Primary winding’s rated current, Iwp: </t>
  </si>
  <si>
    <t>100V</t>
  </si>
  <si>
    <t xml:space="preserve">Secondary terminal voltage: </t>
  </si>
  <si>
    <t xml:space="preserve">Secondary winding’s rated current(center-tapped configuration), Iws: </t>
  </si>
  <si>
    <t>Frequency at no load: Hz</t>
  </si>
  <si>
    <t>Frequency at full load: Hz</t>
  </si>
  <si>
    <t>Step 10: Select the Resonant Inductor</t>
  </si>
  <si>
    <t>The inductor can be built or purchased from a catalog, with these specifications:</t>
  </si>
  <si>
    <t>Terminal AC voltage:</t>
  </si>
  <si>
    <t xml:space="preserve">Series resonant inductance, Lr: </t>
  </si>
  <si>
    <t xml:space="preserve">Rated current, Ilr [A] </t>
  </si>
  <si>
    <t>Frequency range</t>
  </si>
  <si>
    <t>80 to 130KHz</t>
  </si>
  <si>
    <t>Step 11: Select the Resonant Capacitor</t>
  </si>
  <si>
    <t xml:space="preserve">The resonant capacitor (Cr) must have a low dissipation factor (DF) due to its high-frequency,high-magnitude current. Capacitors such as electrolytic and multilayer X7R ceramic types usually have high DF and therefore are not preferred. </t>
  </si>
  <si>
    <t>NP0 capacitors can be used due to their low DF, but their capacitance range presents limitations.</t>
  </si>
  <si>
    <t>Capacitors often used for LLC converters are made with metalized polypropylene film. These capacitors present very low DF and are capable of handling high-frequency current.</t>
  </si>
  <si>
    <t>Before a capacitor is selected, its voltage rating has to be derated with regard to the switching frequency in use. Fig.shows an example where</t>
  </si>
  <si>
    <t>a 12-nF capacitor rated at 600 VRMS can be used only up to 300 VRMS with a 100-kHz switching frequency.</t>
  </si>
  <si>
    <t>The selected capacitor (Cr) must meet these additional specifications:</t>
  </si>
  <si>
    <t>Rated current, ICr:  A</t>
  </si>
  <si>
    <t>AC voltage,V</t>
  </si>
  <si>
    <t>RMS voltage, V:</t>
  </si>
  <si>
    <t>Corresponding peak voltage,V:</t>
  </si>
  <si>
    <t>Step 12: Select the Primary-Side MOSFETs</t>
  </si>
  <si>
    <t>Specify the MOSFET parameters required for the converter. Each MOSFET sees the input voltage as its maximum applied voltage:</t>
  </si>
  <si>
    <t>Each MOSFET conducts half of the resonant network’s current in steady state after the resonant capacitor’s voltage has been established. However,</t>
  </si>
  <si>
    <t>during the initial start-up and transient, the current in each MOSFET can be as high as the resonant current (Ir) with a 110% overload:</t>
  </si>
  <si>
    <t>MOSFET switching losses are minimized by ZVS; therefore, the MOSFETs’ conduction losses may become the main concern for the design. This</t>
  </si>
  <si>
    <t>suggests that MOSFETs with a low Rds_on should be used, but with the recognition that there is usually a trade-off between Rds_on and Cds.</t>
  </si>
  <si>
    <t>500V</t>
  </si>
  <si>
    <t>Step 13: Design for ZVS</t>
  </si>
  <si>
    <t>The conditions under which the converter has sufficient inductive energy and sufficient switching dead time for ZVS.</t>
  </si>
  <si>
    <t>To check these conditions, it can be assumed that Ceq is mainly from the MOSFETs’ Cds. For typical 500-V MOSFETs, Cds is around 200 pF. If it is assumed</t>
  </si>
  <si>
    <t>that Ceq = 200 pF and that the worst-case minimum magnetizing current (Im_min) is</t>
  </si>
  <si>
    <t>Then</t>
  </si>
  <si>
    <t>and</t>
  </si>
  <si>
    <t>32.8 uJ</t>
  </si>
  <si>
    <t>the dead time should be designed as</t>
  </si>
  <si>
    <t>In order for the body diode of Q2 to be  turned on within tdead, the conditions in Equations (32a) and (32b) must be met:</t>
  </si>
  <si>
    <t>A tdead of 100 ns will meet the requirement.</t>
  </si>
  <si>
    <t>Step 14: Select the Rectifier Diodes</t>
  </si>
  <si>
    <t>The diodes’ voltage rating is determined as</t>
  </si>
  <si>
    <t>The diodes’ current rating is determined as</t>
  </si>
  <si>
    <t>Step 15: Select the Type of Output Filter and Specify the Capacitors</t>
  </si>
  <si>
    <t>In an LLC converter, the output filter may consist of capacitors alone instead of the LC filter seen in most pulse-width-modulated converters, although</t>
  </si>
  <si>
    <t>a small second-stage LC filter can be an option. If the filter has only capacitors, they should be chosen to allow conduction of the rectifier current through</t>
  </si>
  <si>
    <t>all AC components.</t>
  </si>
  <si>
    <t>The rectifier’s full-wave output current is expressed as</t>
  </si>
  <si>
    <t>Then, for the load current (Io), the capacitor’s RMS current rating at about 100 kHz is calculated as</t>
  </si>
  <si>
    <t>Usually a single capacitor will not allow such a high RMS current, so several capacitors connected in parallel are often used and may offer a lower profile.</t>
  </si>
  <si>
    <t>Aluminum solid capacitors with conductivepolymer technology have a high current rating and a low equivalent series resistance (ESR), making them a good choice.</t>
  </si>
  <si>
    <t>Any capacitance value can be used as long as combined capacitors meet the following specifications:</t>
  </si>
  <si>
    <t>The final design parameters:</t>
  </si>
  <si>
    <t>If the efficiency is assumed to be 95% (&gt; 90% as required by the specifications), then 8% of the total power would be power losses.</t>
  </si>
  <si>
    <t xml:space="preserve">To keep operation within the inductive region with an overload-current capability of 110%, Mg_max is increased from 1.17 to 1.17 × 110% </t>
  </si>
  <si>
    <t>From below figure, if the values Ln = 3.5 and Qe = 0.45 are selected, the corresponding Mg _ap = 1.56, which is greater than Mg_max = 1.29. A curve for</t>
  </si>
  <si>
    <t>36.4 nF</t>
  </si>
  <si>
    <t>41.11 uH</t>
  </si>
  <si>
    <t>144 uH</t>
  </si>
  <si>
    <t>The frequency at (Mg_max, fsw_min) with an overload
(Qe = 0.5) is fn_min × f0 [Hz]</t>
  </si>
  <si>
    <t>417.1 uJ</t>
  </si>
  <si>
    <t>59.9 ns</t>
  </si>
  <si>
    <t>Ripple-current rating: 8.24 A at 100 kHz</t>
  </si>
  <si>
    <t>Transformer turns ratio: n = 8:1:1</t>
  </si>
  <si>
    <t>Resonant network’s parameters: Lm = 144 μH, Lr = 42 μH, and Cr = 37 nF</t>
  </si>
  <si>
    <t>Output capacitance</t>
  </si>
  <si>
    <t>100 V</t>
  </si>
  <si>
    <t>The minimal number of turns of the primary winding can now be obtained as:</t>
  </si>
  <si>
    <t>ETD34 core</t>
  </si>
  <si>
    <t>Ae = 97.1x10-6 m2</t>
  </si>
  <si>
    <t>The maximum flux density swing can be chosen up to 0.4 T for ferrite material, but in this case 0.2 T was chosen to reduce losses in the magnetic core.</t>
  </si>
  <si>
    <t>Delta B</t>
  </si>
  <si>
    <t>For the number of secondary turns to be valid, n.Ns &gt; Np min.</t>
  </si>
  <si>
    <t>Ns</t>
  </si>
  <si>
    <t>To build the transformer, there are two sections bobbin used. The two sections bobbin allows increase leakage inductance, which is used as the resonant inductor.</t>
  </si>
  <si>
    <t xml:space="preserve"> The first section is used for primary winding, the second one for secondary winding. </t>
  </si>
  <si>
    <t xml:space="preserve">The primary winding uses Litz wire 1x120x0.071 mm. The secondary winding uses three strands in parallel of the same Litz wire (1x120x0.071 mm). </t>
  </si>
  <si>
    <t xml:space="preserve">The last step in the transformer construction selecting a proper core gap. Standard gaps for a selected core are available in ranges from 0 to 2 mm. </t>
  </si>
  <si>
    <t>The required primary inductance Lp was obtained for g=0.5mm. Observe that the leakage inductance is almost constant, even if gap has changed.</t>
  </si>
  <si>
    <t>Example</t>
  </si>
  <si>
    <t>Output capacitance:</t>
  </si>
  <si>
    <t>Assumptions:</t>
  </si>
  <si>
    <t>uF</t>
  </si>
  <si>
    <t>ESR</t>
  </si>
  <si>
    <t>mOhm</t>
  </si>
  <si>
    <t>Operating freq</t>
  </si>
  <si>
    <t>Hz</t>
  </si>
  <si>
    <t>V</t>
  </si>
  <si>
    <t>Rs</t>
  </si>
  <si>
    <t>Voltage rating: 35 V</t>
  </si>
  <si>
    <t>To meet the specification for a 240-mV ripple voltage, the maximum ESR should be</t>
  </si>
  <si>
    <t>8.98 m Ohm</t>
  </si>
  <si>
    <t>ESR: &lt; 9 mΩ</t>
  </si>
  <si>
    <t>178mV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</si>
</sst>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"/>
    <numFmt numFmtId="166" formatCode="0.0000000"/>
    <numFmt numFmtId="167" formatCode="0.00000"/>
    <numFmt numFmtId="168" formatCode="0.00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/>
    <xf numFmtId="9" fontId="0" fillId="3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11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7</xdr:col>
      <xdr:colOff>28575</xdr:colOff>
      <xdr:row>45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0"/>
          <a:ext cx="6924675" cy="45529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7</xdr:col>
      <xdr:colOff>485775</xdr:colOff>
      <xdr:row>87</xdr:row>
      <xdr:rowOff>171450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53500"/>
          <a:ext cx="7381875" cy="74104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90</xdr:row>
      <xdr:rowOff>152399</xdr:rowOff>
    </xdr:from>
    <xdr:to>
      <xdr:col>1</xdr:col>
      <xdr:colOff>2276476</xdr:colOff>
      <xdr:row>94</xdr:row>
      <xdr:rowOff>161924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7297399"/>
          <a:ext cx="2266950" cy="7715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2286000</xdr:colOff>
      <xdr:row>90</xdr:row>
      <xdr:rowOff>161925</xdr:rowOff>
    </xdr:from>
    <xdr:to>
      <xdr:col>1</xdr:col>
      <xdr:colOff>3324225</xdr:colOff>
      <xdr:row>94</xdr:row>
      <xdr:rowOff>142875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7306925"/>
          <a:ext cx="1038225" cy="7429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790575</xdr:colOff>
      <xdr:row>98</xdr:row>
      <xdr:rowOff>9524</xdr:rowOff>
    </xdr:from>
    <xdr:to>
      <xdr:col>1</xdr:col>
      <xdr:colOff>3316741</xdr:colOff>
      <xdr:row>101</xdr:row>
      <xdr:rowOff>190499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8678524"/>
          <a:ext cx="2526166" cy="7524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103</xdr:row>
      <xdr:rowOff>152400</xdr:rowOff>
    </xdr:from>
    <xdr:to>
      <xdr:col>1</xdr:col>
      <xdr:colOff>3314700</xdr:colOff>
      <xdr:row>108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9773900"/>
          <a:ext cx="2771775" cy="80010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2228850</xdr:colOff>
      <xdr:row>121</xdr:row>
      <xdr:rowOff>9525</xdr:rowOff>
    </xdr:from>
    <xdr:to>
      <xdr:col>1</xdr:col>
      <xdr:colOff>3514725</xdr:colOff>
      <xdr:row>124</xdr:row>
      <xdr:rowOff>28575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23060025"/>
          <a:ext cx="1285875" cy="590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1571625</xdr:colOff>
      <xdr:row>131</xdr:row>
      <xdr:rowOff>28575</xdr:rowOff>
    </xdr:from>
    <xdr:to>
      <xdr:col>1</xdr:col>
      <xdr:colOff>3505200</xdr:colOff>
      <xdr:row>134</xdr:row>
      <xdr:rowOff>38100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24984075"/>
          <a:ext cx="1933575" cy="5810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2009775</xdr:colOff>
      <xdr:row>135</xdr:row>
      <xdr:rowOff>19050</xdr:rowOff>
    </xdr:from>
    <xdr:to>
      <xdr:col>1</xdr:col>
      <xdr:colOff>3486150</xdr:colOff>
      <xdr:row>138</xdr:row>
      <xdr:rowOff>161925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5736550"/>
          <a:ext cx="1476375" cy="714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2352675</xdr:colOff>
      <xdr:row>140</xdr:row>
      <xdr:rowOff>114300</xdr:rowOff>
    </xdr:from>
    <xdr:to>
      <xdr:col>1</xdr:col>
      <xdr:colOff>3486150</xdr:colOff>
      <xdr:row>142</xdr:row>
      <xdr:rowOff>161925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6784300"/>
          <a:ext cx="1133475" cy="4286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1914525</xdr:colOff>
      <xdr:row>146</xdr:row>
      <xdr:rowOff>114300</xdr:rowOff>
    </xdr:from>
    <xdr:to>
      <xdr:col>1</xdr:col>
      <xdr:colOff>3505200</xdr:colOff>
      <xdr:row>149</xdr:row>
      <xdr:rowOff>123825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27927300"/>
          <a:ext cx="1590675" cy="5810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1866900</xdr:colOff>
      <xdr:row>151</xdr:row>
      <xdr:rowOff>161925</xdr:rowOff>
    </xdr:from>
    <xdr:to>
      <xdr:col>1</xdr:col>
      <xdr:colOff>3495675</xdr:colOff>
      <xdr:row>156</xdr:row>
      <xdr:rowOff>47625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28927425"/>
          <a:ext cx="1628775" cy="83820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1247775</xdr:colOff>
      <xdr:row>158</xdr:row>
      <xdr:rowOff>28575</xdr:rowOff>
    </xdr:from>
    <xdr:to>
      <xdr:col>1</xdr:col>
      <xdr:colOff>3486150</xdr:colOff>
      <xdr:row>162</xdr:row>
      <xdr:rowOff>114300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30127575"/>
          <a:ext cx="2238375" cy="847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147</xdr:row>
      <xdr:rowOff>57150</xdr:rowOff>
    </xdr:from>
    <xdr:to>
      <xdr:col>14</xdr:col>
      <xdr:colOff>161925</xdr:colOff>
      <xdr:row>171</xdr:row>
      <xdr:rowOff>295275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8060650"/>
          <a:ext cx="5362575" cy="481012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1885950</xdr:colOff>
      <xdr:row>177</xdr:row>
      <xdr:rowOff>123825</xdr:rowOff>
    </xdr:from>
    <xdr:to>
      <xdr:col>1</xdr:col>
      <xdr:colOff>3476625</xdr:colOff>
      <xdr:row>181</xdr:row>
      <xdr:rowOff>85725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4032825"/>
          <a:ext cx="1590675" cy="7239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1371600</xdr:colOff>
      <xdr:row>184</xdr:row>
      <xdr:rowOff>19050</xdr:rowOff>
    </xdr:from>
    <xdr:to>
      <xdr:col>1</xdr:col>
      <xdr:colOff>3495675</xdr:colOff>
      <xdr:row>189</xdr:row>
      <xdr:rowOff>9525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5261550"/>
          <a:ext cx="2124075" cy="9429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1981200</xdr:colOff>
      <xdr:row>191</xdr:row>
      <xdr:rowOff>28575</xdr:rowOff>
    </xdr:from>
    <xdr:to>
      <xdr:col>1</xdr:col>
      <xdr:colOff>3495675</xdr:colOff>
      <xdr:row>194</xdr:row>
      <xdr:rowOff>171450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36604575"/>
          <a:ext cx="1514475" cy="7143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1914525</xdr:colOff>
      <xdr:row>201</xdr:row>
      <xdr:rowOff>9525</xdr:rowOff>
    </xdr:from>
    <xdr:to>
      <xdr:col>1</xdr:col>
      <xdr:colOff>3505200</xdr:colOff>
      <xdr:row>204</xdr:row>
      <xdr:rowOff>47625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8490525"/>
          <a:ext cx="1590675" cy="6096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1543050</xdr:colOff>
      <xdr:row>209</xdr:row>
      <xdr:rowOff>38100</xdr:rowOff>
    </xdr:from>
    <xdr:to>
      <xdr:col>1</xdr:col>
      <xdr:colOff>3476625</xdr:colOff>
      <xdr:row>213</xdr:row>
      <xdr:rowOff>142875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0043100"/>
          <a:ext cx="1933575" cy="8667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1552575</xdr:colOff>
      <xdr:row>215</xdr:row>
      <xdr:rowOff>123825</xdr:rowOff>
    </xdr:from>
    <xdr:to>
      <xdr:col>1</xdr:col>
      <xdr:colOff>3486150</xdr:colOff>
      <xdr:row>221</xdr:row>
      <xdr:rowOff>28575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41652825"/>
          <a:ext cx="1933575" cy="10477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241</xdr:row>
      <xdr:rowOff>0</xdr:rowOff>
    </xdr:from>
    <xdr:to>
      <xdr:col>5</xdr:col>
      <xdr:colOff>257175</xdr:colOff>
      <xdr:row>242</xdr:row>
      <xdr:rowOff>133350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6672500"/>
          <a:ext cx="1590675" cy="3238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4</xdr:col>
      <xdr:colOff>190500</xdr:colOff>
      <xdr:row>278</xdr:row>
      <xdr:rowOff>57150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149000"/>
          <a:ext cx="5133975" cy="46291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283</xdr:row>
      <xdr:rowOff>1</xdr:rowOff>
    </xdr:from>
    <xdr:to>
      <xdr:col>6</xdr:col>
      <xdr:colOff>590550</xdr:colOff>
      <xdr:row>285</xdr:row>
      <xdr:rowOff>28575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4673501"/>
          <a:ext cx="2543175" cy="409574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287</xdr:row>
      <xdr:rowOff>0</xdr:rowOff>
    </xdr:from>
    <xdr:to>
      <xdr:col>8</xdr:col>
      <xdr:colOff>285750</xdr:colOff>
      <xdr:row>291</xdr:row>
      <xdr:rowOff>19050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5435500"/>
          <a:ext cx="3457575" cy="7810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293</xdr:row>
      <xdr:rowOff>0</xdr:rowOff>
    </xdr:from>
    <xdr:to>
      <xdr:col>7</xdr:col>
      <xdr:colOff>590550</xdr:colOff>
      <xdr:row>297</xdr:row>
      <xdr:rowOff>38100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6578500"/>
          <a:ext cx="3152775" cy="8001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628650</xdr:colOff>
      <xdr:row>302</xdr:row>
      <xdr:rowOff>38100</xdr:rowOff>
    </xdr:from>
    <xdr:to>
      <xdr:col>1</xdr:col>
      <xdr:colOff>3286125</xdr:colOff>
      <xdr:row>305</xdr:row>
      <xdr:rowOff>47625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331100"/>
          <a:ext cx="2657475" cy="58102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666750</xdr:colOff>
      <xdr:row>311</xdr:row>
      <xdr:rowOff>9525</xdr:rowOff>
    </xdr:from>
    <xdr:to>
      <xdr:col>1</xdr:col>
      <xdr:colOff>3324225</xdr:colOff>
      <xdr:row>313</xdr:row>
      <xdr:rowOff>114300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60017025"/>
          <a:ext cx="2657475" cy="4857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742950</xdr:colOff>
      <xdr:row>326</xdr:row>
      <xdr:rowOff>38100</xdr:rowOff>
    </xdr:from>
    <xdr:to>
      <xdr:col>2</xdr:col>
      <xdr:colOff>742950</xdr:colOff>
      <xdr:row>330</xdr:row>
      <xdr:rowOff>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62522100"/>
          <a:ext cx="3533775" cy="7239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952500</xdr:colOff>
      <xdr:row>332</xdr:row>
      <xdr:rowOff>66675</xdr:rowOff>
    </xdr:from>
    <xdr:to>
      <xdr:col>1</xdr:col>
      <xdr:colOff>3457575</xdr:colOff>
      <xdr:row>336</xdr:row>
      <xdr:rowOff>19050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3693675"/>
          <a:ext cx="2505075" cy="7143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1924050</xdr:colOff>
      <xdr:row>338</xdr:row>
      <xdr:rowOff>38100</xdr:rowOff>
    </xdr:from>
    <xdr:to>
      <xdr:col>1</xdr:col>
      <xdr:colOff>3476625</xdr:colOff>
      <xdr:row>341</xdr:row>
      <xdr:rowOff>161925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64808100"/>
          <a:ext cx="1552575" cy="69532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344</xdr:row>
      <xdr:rowOff>0</xdr:rowOff>
    </xdr:from>
    <xdr:to>
      <xdr:col>2</xdr:col>
      <xdr:colOff>457200</xdr:colOff>
      <xdr:row>347</xdr:row>
      <xdr:rowOff>180975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294000"/>
          <a:ext cx="3990975" cy="7524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345</xdr:row>
      <xdr:rowOff>0</xdr:rowOff>
    </xdr:from>
    <xdr:to>
      <xdr:col>13</xdr:col>
      <xdr:colOff>142875</xdr:colOff>
      <xdr:row>352</xdr:row>
      <xdr:rowOff>142875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66484500"/>
          <a:ext cx="5019675" cy="14763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838200</xdr:colOff>
      <xdr:row>351</xdr:row>
      <xdr:rowOff>95250</xdr:rowOff>
    </xdr:from>
    <xdr:to>
      <xdr:col>2</xdr:col>
      <xdr:colOff>0</xdr:colOff>
      <xdr:row>354</xdr:row>
      <xdr:rowOff>180975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7341750"/>
          <a:ext cx="26955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942975</xdr:colOff>
      <xdr:row>361</xdr:row>
      <xdr:rowOff>161925</xdr:rowOff>
    </xdr:from>
    <xdr:to>
      <xdr:col>1</xdr:col>
      <xdr:colOff>3486150</xdr:colOff>
      <xdr:row>365</xdr:row>
      <xdr:rowOff>85725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69313425"/>
          <a:ext cx="2543175" cy="6858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1762125</xdr:colOff>
      <xdr:row>367</xdr:row>
      <xdr:rowOff>161925</xdr:rowOff>
    </xdr:from>
    <xdr:to>
      <xdr:col>1</xdr:col>
      <xdr:colOff>3505200</xdr:colOff>
      <xdr:row>372</xdr:row>
      <xdr:rowOff>0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70456425"/>
          <a:ext cx="1743075" cy="7905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781050</xdr:colOff>
      <xdr:row>381</xdr:row>
      <xdr:rowOff>9525</xdr:rowOff>
    </xdr:from>
    <xdr:to>
      <xdr:col>1</xdr:col>
      <xdr:colOff>3209925</xdr:colOff>
      <xdr:row>384</xdr:row>
      <xdr:rowOff>85725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73352025"/>
          <a:ext cx="2428875" cy="6477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390525</xdr:colOff>
      <xdr:row>389</xdr:row>
      <xdr:rowOff>180975</xdr:rowOff>
    </xdr:from>
    <xdr:to>
      <xdr:col>2</xdr:col>
      <xdr:colOff>771525</xdr:colOff>
      <xdr:row>395</xdr:row>
      <xdr:rowOff>133350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74666475"/>
          <a:ext cx="3914775" cy="10953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403</xdr:row>
      <xdr:rowOff>66675</xdr:rowOff>
    </xdr:from>
    <xdr:to>
      <xdr:col>2</xdr:col>
      <xdr:colOff>771525</xdr:colOff>
      <xdr:row>408</xdr:row>
      <xdr:rowOff>161925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77219175"/>
          <a:ext cx="3571875" cy="10477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1514475</xdr:colOff>
      <xdr:row>423</xdr:row>
      <xdr:rowOff>171450</xdr:rowOff>
    </xdr:from>
    <xdr:to>
      <xdr:col>1</xdr:col>
      <xdr:colOff>3371850</xdr:colOff>
      <xdr:row>426</xdr:row>
      <xdr:rowOff>114300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81133950"/>
          <a:ext cx="1857375" cy="5143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440</xdr:row>
      <xdr:rowOff>0</xdr:rowOff>
    </xdr:from>
    <xdr:to>
      <xdr:col>8</xdr:col>
      <xdr:colOff>333375</xdr:colOff>
      <xdr:row>464</xdr:row>
      <xdr:rowOff>95250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201000"/>
          <a:ext cx="7839075" cy="46672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2</xdr:col>
      <xdr:colOff>685800</xdr:colOff>
      <xdr:row>474</xdr:row>
      <xdr:rowOff>152400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725500"/>
          <a:ext cx="4219575" cy="11049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552450</xdr:colOff>
      <xdr:row>495</xdr:row>
      <xdr:rowOff>123825</xdr:rowOff>
    </xdr:from>
    <xdr:to>
      <xdr:col>1</xdr:col>
      <xdr:colOff>3438525</xdr:colOff>
      <xdr:row>500</xdr:row>
      <xdr:rowOff>95250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94802325"/>
          <a:ext cx="2886075" cy="92392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500</xdr:row>
      <xdr:rowOff>0</xdr:rowOff>
    </xdr:from>
    <xdr:to>
      <xdr:col>11</xdr:col>
      <xdr:colOff>66675</xdr:colOff>
      <xdr:row>504</xdr:row>
      <xdr:rowOff>104775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95631000"/>
          <a:ext cx="18954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3"/>
  <sheetViews>
    <sheetView tabSelected="1" workbookViewId="0">
      <selection activeCell="E482" sqref="E482"/>
    </sheetView>
  </sheetViews>
  <sheetFormatPr defaultRowHeight="15" x14ac:dyDescent="0.25"/>
  <cols>
    <col min="2" max="2" width="53" customWidth="1"/>
    <col min="3" max="3" width="12" bestFit="1" customWidth="1"/>
    <col min="5" max="5" width="11" customWidth="1"/>
  </cols>
  <sheetData>
    <row r="2" spans="2:19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2:19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6" spans="2:19" x14ac:dyDescent="0.25">
      <c r="C6" s="1" t="s">
        <v>3</v>
      </c>
      <c r="D6" s="1" t="s">
        <v>6</v>
      </c>
      <c r="E6" s="1" t="s">
        <v>2</v>
      </c>
    </row>
    <row r="7" spans="2:19" x14ac:dyDescent="0.25">
      <c r="B7" s="2" t="s">
        <v>5</v>
      </c>
      <c r="C7" s="3">
        <v>375</v>
      </c>
      <c r="D7" s="3">
        <v>390</v>
      </c>
      <c r="E7" s="3">
        <v>405</v>
      </c>
    </row>
    <row r="8" spans="2:19" x14ac:dyDescent="0.25">
      <c r="B8" s="2" t="s">
        <v>7</v>
      </c>
      <c r="C8" s="4" t="s">
        <v>1</v>
      </c>
      <c r="D8" s="4">
        <v>24.5</v>
      </c>
      <c r="E8" s="4" t="s">
        <v>1</v>
      </c>
    </row>
    <row r="9" spans="2:19" x14ac:dyDescent="0.25">
      <c r="B9" s="2" t="s">
        <v>8</v>
      </c>
      <c r="C9" s="4" t="s">
        <v>1</v>
      </c>
      <c r="D9" s="4">
        <v>17</v>
      </c>
      <c r="E9" s="4" t="s">
        <v>1</v>
      </c>
    </row>
    <row r="10" spans="2:19" x14ac:dyDescent="0.25">
      <c r="B10" s="2" t="s">
        <v>9</v>
      </c>
      <c r="C10" s="4" t="s">
        <v>1</v>
      </c>
      <c r="D10" s="4" t="s">
        <v>1</v>
      </c>
      <c r="E10" s="4">
        <f>D8*D9</f>
        <v>416.5</v>
      </c>
    </row>
    <row r="11" spans="2:19" x14ac:dyDescent="0.25">
      <c r="B11" s="2" t="s">
        <v>4</v>
      </c>
      <c r="C11" s="4" t="s">
        <v>1</v>
      </c>
      <c r="D11" s="4"/>
      <c r="E11" s="4">
        <v>130000</v>
      </c>
    </row>
    <row r="12" spans="2:19" x14ac:dyDescent="0.25">
      <c r="B12" s="2" t="s">
        <v>10</v>
      </c>
      <c r="C12" s="4">
        <v>70000</v>
      </c>
      <c r="D12" s="4" t="s">
        <v>1</v>
      </c>
      <c r="E12" s="4">
        <v>150000</v>
      </c>
    </row>
    <row r="13" spans="2:19" x14ac:dyDescent="0.25">
      <c r="B13" s="2" t="s">
        <v>11</v>
      </c>
      <c r="C13" s="4" t="s">
        <v>1</v>
      </c>
      <c r="D13" s="6">
        <v>0.01</v>
      </c>
      <c r="E13" s="4" t="s">
        <v>1</v>
      </c>
    </row>
    <row r="14" spans="2:19" x14ac:dyDescent="0.25">
      <c r="B14" s="2" t="s">
        <v>12</v>
      </c>
      <c r="C14" s="4" t="s">
        <v>1</v>
      </c>
      <c r="D14" s="6">
        <v>0.01</v>
      </c>
      <c r="E14" s="4" t="s">
        <v>1</v>
      </c>
    </row>
    <row r="15" spans="2:19" x14ac:dyDescent="0.25">
      <c r="B15" s="5" t="s">
        <v>13</v>
      </c>
      <c r="C15" s="4" t="s">
        <v>1</v>
      </c>
      <c r="D15" s="4" t="s">
        <v>1</v>
      </c>
      <c r="E15" s="4" t="s">
        <v>40</v>
      </c>
    </row>
    <row r="16" spans="2:19" x14ac:dyDescent="0.25">
      <c r="B16" s="5" t="s">
        <v>14</v>
      </c>
      <c r="C16" s="4" t="s">
        <v>1</v>
      </c>
      <c r="D16" s="4"/>
      <c r="E16" s="6">
        <v>0.95</v>
      </c>
    </row>
    <row r="17" spans="2:6" x14ac:dyDescent="0.25">
      <c r="B17" s="5" t="s">
        <v>19</v>
      </c>
      <c r="C17" s="4" t="s">
        <v>1</v>
      </c>
      <c r="D17" s="4">
        <v>0.7</v>
      </c>
      <c r="E17" s="6" t="s">
        <v>1</v>
      </c>
    </row>
    <row r="18" spans="2:6" x14ac:dyDescent="0.25">
      <c r="B18" s="5" t="s">
        <v>20</v>
      </c>
      <c r="C18" s="4" t="s">
        <v>1</v>
      </c>
      <c r="D18" s="8">
        <f>((E10*8%)/E16)/D9</f>
        <v>2.0631578947368423</v>
      </c>
      <c r="E18" s="6" t="s">
        <v>1</v>
      </c>
      <c r="F18" t="s">
        <v>106</v>
      </c>
    </row>
    <row r="20" spans="2:6" x14ac:dyDescent="0.25">
      <c r="B20" s="26" t="s">
        <v>15</v>
      </c>
      <c r="C20" s="26"/>
      <c r="D20" s="26"/>
      <c r="E20" s="26"/>
    </row>
    <row r="21" spans="2:6" x14ac:dyDescent="0.25">
      <c r="B21" s="26"/>
      <c r="C21" s="26"/>
      <c r="D21" s="26"/>
      <c r="E21" s="26"/>
    </row>
    <row r="47" spans="2:7" ht="15" customHeight="1" x14ac:dyDescent="0.25">
      <c r="B47" s="27" t="s">
        <v>16</v>
      </c>
      <c r="C47" s="28"/>
      <c r="D47" s="28"/>
      <c r="E47" s="28"/>
      <c r="F47" s="28"/>
      <c r="G47" s="29"/>
    </row>
    <row r="48" spans="2:7" ht="15" customHeight="1" x14ac:dyDescent="0.25">
      <c r="B48" s="30"/>
      <c r="C48" s="31"/>
      <c r="D48" s="31"/>
      <c r="E48" s="31"/>
      <c r="F48" s="31"/>
      <c r="G48" s="32"/>
    </row>
    <row r="90" spans="2:15" x14ac:dyDescent="0.25">
      <c r="B90" s="33" t="s">
        <v>17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2" spans="2:15" x14ac:dyDescent="0.25">
      <c r="C92" s="34">
        <f>(D7/2)/D8</f>
        <v>7.9591836734693882</v>
      </c>
    </row>
    <row r="93" spans="2:15" x14ac:dyDescent="0.25">
      <c r="C93" s="34"/>
    </row>
    <row r="94" spans="2:15" x14ac:dyDescent="0.25">
      <c r="C94" s="34"/>
    </row>
    <row r="95" spans="2:15" x14ac:dyDescent="0.25">
      <c r="C95" s="34"/>
      <c r="D95" s="14">
        <v>8</v>
      </c>
    </row>
    <row r="97" spans="2:15" x14ac:dyDescent="0.25">
      <c r="B97" s="33" t="s">
        <v>18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9" spans="2:15" x14ac:dyDescent="0.25">
      <c r="C99" s="25">
        <f>(D95*(D8*(1-1%)+D17))/(E7/2)</f>
        <v>0.9858765432098765</v>
      </c>
    </row>
    <row r="100" spans="2:15" x14ac:dyDescent="0.25">
      <c r="C100" s="25"/>
    </row>
    <row r="101" spans="2:15" x14ac:dyDescent="0.25">
      <c r="C101" s="25"/>
    </row>
    <row r="102" spans="2:15" x14ac:dyDescent="0.25">
      <c r="C102" s="25"/>
    </row>
    <row r="105" spans="2:15" x14ac:dyDescent="0.25">
      <c r="C105" s="25">
        <f>(D95*(D8*(1+1%)+D17+D18))/(C7/2)</f>
        <v>1.1736814035087719</v>
      </c>
    </row>
    <row r="106" spans="2:15" x14ac:dyDescent="0.25">
      <c r="C106" s="25"/>
    </row>
    <row r="107" spans="2:15" x14ac:dyDescent="0.25">
      <c r="C107" s="25"/>
    </row>
    <row r="108" spans="2:15" x14ac:dyDescent="0.25">
      <c r="C108" s="25"/>
    </row>
    <row r="110" spans="2:15" x14ac:dyDescent="0.25">
      <c r="B110" s="35" t="s">
        <v>107</v>
      </c>
      <c r="C110" s="35"/>
      <c r="D110" s="35"/>
      <c r="E110" s="35"/>
      <c r="F110" s="35"/>
      <c r="G110" s="35"/>
      <c r="H110" s="35"/>
      <c r="I110" s="35"/>
      <c r="J110" s="35"/>
      <c r="K110" s="11">
        <f>1.17*110%</f>
        <v>1.2869999999999999</v>
      </c>
    </row>
    <row r="112" spans="2:15" x14ac:dyDescent="0.25">
      <c r="B112" s="33" t="s">
        <v>21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4" spans="2:15" x14ac:dyDescent="0.25">
      <c r="B114" t="s">
        <v>108</v>
      </c>
    </row>
    <row r="115" spans="2:15" x14ac:dyDescent="0.25">
      <c r="B115" t="s">
        <v>22</v>
      </c>
    </row>
    <row r="117" spans="2:15" x14ac:dyDescent="0.25">
      <c r="B117" s="13" t="s">
        <v>23</v>
      </c>
      <c r="C117" s="14">
        <v>3.5</v>
      </c>
    </row>
    <row r="118" spans="2:15" x14ac:dyDescent="0.25">
      <c r="B118" s="13" t="s">
        <v>24</v>
      </c>
      <c r="C118" s="14">
        <v>0.45</v>
      </c>
    </row>
    <row r="120" spans="2:15" x14ac:dyDescent="0.25">
      <c r="B120" s="33" t="s">
        <v>25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2" spans="2:15" x14ac:dyDescent="0.25">
      <c r="C122" s="25">
        <f>(8*D95^2*D8)/(((22/7)^2)*D9)</f>
        <v>74.702965483714152</v>
      </c>
    </row>
    <row r="123" spans="2:15" x14ac:dyDescent="0.25">
      <c r="C123" s="25"/>
    </row>
    <row r="124" spans="2:15" x14ac:dyDescent="0.25">
      <c r="C124" s="25"/>
      <c r="D124" s="9" t="s">
        <v>27</v>
      </c>
    </row>
    <row r="127" spans="2:15" x14ac:dyDescent="0.25">
      <c r="B127" s="12" t="s">
        <v>26</v>
      </c>
      <c r="C127" s="11">
        <f>C122/110%</f>
        <v>67.911786803376501</v>
      </c>
      <c r="D127" s="9" t="s">
        <v>27</v>
      </c>
    </row>
    <row r="129" spans="2:15" x14ac:dyDescent="0.25">
      <c r="B129" s="33" t="s">
        <v>29</v>
      </c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2:15" x14ac:dyDescent="0.25">
      <c r="B130" s="37" t="s">
        <v>28</v>
      </c>
      <c r="C130" s="37"/>
      <c r="D130" s="37"/>
      <c r="E130" s="37"/>
      <c r="F130" s="37"/>
      <c r="G130" s="37"/>
      <c r="H130" s="37"/>
    </row>
    <row r="132" spans="2:15" x14ac:dyDescent="0.25">
      <c r="C132" s="38">
        <f>1/(2*(22/7)*C118*E11*C122)</f>
        <v>3.6404213700132061E-8</v>
      </c>
    </row>
    <row r="133" spans="2:15" x14ac:dyDescent="0.25">
      <c r="C133" s="38"/>
    </row>
    <row r="134" spans="2:15" x14ac:dyDescent="0.25">
      <c r="C134" s="38"/>
      <c r="E134" s="10" t="s">
        <v>109</v>
      </c>
    </row>
    <row r="136" spans="2:15" x14ac:dyDescent="0.25">
      <c r="C136" s="38">
        <f>1/(((2*(22/7)*E11)^2)*C132)</f>
        <v>4.1138870852045381E-5</v>
      </c>
    </row>
    <row r="137" spans="2:15" x14ac:dyDescent="0.25">
      <c r="C137" s="38"/>
    </row>
    <row r="138" spans="2:15" x14ac:dyDescent="0.25">
      <c r="C138" s="38"/>
    </row>
    <row r="139" spans="2:15" x14ac:dyDescent="0.25">
      <c r="C139" s="38"/>
      <c r="E139" s="10" t="s">
        <v>110</v>
      </c>
    </row>
    <row r="141" spans="2:15" x14ac:dyDescent="0.25">
      <c r="C141" s="39">
        <f>C117*C136</f>
        <v>1.4398604798215883E-4</v>
      </c>
    </row>
    <row r="142" spans="2:15" x14ac:dyDescent="0.25">
      <c r="C142" s="39"/>
    </row>
    <row r="143" spans="2:15" x14ac:dyDescent="0.25">
      <c r="C143" s="39"/>
      <c r="E143" s="10" t="s">
        <v>111</v>
      </c>
    </row>
    <row r="145" spans="2:15" x14ac:dyDescent="0.25">
      <c r="B145" s="33" t="s">
        <v>30</v>
      </c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7" spans="2:15" x14ac:dyDescent="0.25">
      <c r="C147" s="35">
        <f>1/(2*(22/7)*SQRT(C136*C132))</f>
        <v>130000</v>
      </c>
    </row>
    <row r="148" spans="2:15" x14ac:dyDescent="0.25">
      <c r="C148" s="35"/>
    </row>
    <row r="149" spans="2:15" x14ac:dyDescent="0.25">
      <c r="C149" s="35"/>
    </row>
    <row r="150" spans="2:15" x14ac:dyDescent="0.25">
      <c r="C150" s="35"/>
      <c r="E150" s="9" t="s">
        <v>31</v>
      </c>
    </row>
    <row r="153" spans="2:15" x14ac:dyDescent="0.25">
      <c r="C153" s="35">
        <f>C141/C136</f>
        <v>3.5</v>
      </c>
    </row>
    <row r="154" spans="2:15" x14ac:dyDescent="0.25">
      <c r="C154" s="35"/>
    </row>
    <row r="155" spans="2:15" x14ac:dyDescent="0.25">
      <c r="C155" s="35"/>
    </row>
    <row r="156" spans="2:15" x14ac:dyDescent="0.25">
      <c r="C156" s="35"/>
    </row>
    <row r="159" spans="2:15" x14ac:dyDescent="0.25">
      <c r="C159" s="25">
        <f>(SQRT(C136/C132))/(C122)</f>
        <v>0.45000000000000007</v>
      </c>
    </row>
    <row r="160" spans="2:15" x14ac:dyDescent="0.25">
      <c r="C160" s="25"/>
    </row>
    <row r="161" spans="2:15" x14ac:dyDescent="0.25">
      <c r="C161" s="25"/>
    </row>
    <row r="162" spans="2:15" x14ac:dyDescent="0.25">
      <c r="C162" s="25"/>
    </row>
    <row r="163" spans="2:15" x14ac:dyDescent="0.25">
      <c r="C163" s="25"/>
    </row>
    <row r="165" spans="2:15" x14ac:dyDescent="0.25">
      <c r="B165" s="12" t="s">
        <v>32</v>
      </c>
      <c r="C165" s="21">
        <f>(SQRT(C136/C132))/C127</f>
        <v>0.49500000000000005</v>
      </c>
    </row>
    <row r="168" spans="2:15" x14ac:dyDescent="0.25">
      <c r="B168" s="12" t="s">
        <v>33</v>
      </c>
      <c r="C168" s="10">
        <f>C147</f>
        <v>130000</v>
      </c>
    </row>
    <row r="170" spans="2:15" x14ac:dyDescent="0.25">
      <c r="B170" s="12" t="s">
        <v>34</v>
      </c>
      <c r="C170" s="10">
        <f>1.02 * C168</f>
        <v>132600</v>
      </c>
    </row>
    <row r="172" spans="2:15" ht="30" x14ac:dyDescent="0.25">
      <c r="B172" s="19" t="s">
        <v>112</v>
      </c>
      <c r="C172" s="10">
        <f>0.64*C168</f>
        <v>83200</v>
      </c>
    </row>
    <row r="175" spans="2:15" x14ac:dyDescent="0.25">
      <c r="B175" s="33" t="s">
        <v>35</v>
      </c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</row>
    <row r="177" spans="2:4" x14ac:dyDescent="0.25">
      <c r="B177" t="s">
        <v>36</v>
      </c>
    </row>
    <row r="179" spans="2:4" x14ac:dyDescent="0.25">
      <c r="C179" s="36">
        <f>((22/7)*D9*110%)/(2*SQRT(2)*C92)</f>
        <v>2.6106744980269481</v>
      </c>
      <c r="D179" s="9"/>
    </row>
    <row r="180" spans="2:4" x14ac:dyDescent="0.25">
      <c r="C180" s="36"/>
      <c r="D180" s="9"/>
    </row>
    <row r="181" spans="2:4" x14ac:dyDescent="0.25">
      <c r="C181" s="36"/>
      <c r="D181" s="10" t="s">
        <v>38</v>
      </c>
    </row>
    <row r="183" spans="2:4" x14ac:dyDescent="0.25">
      <c r="B183" s="20" t="s">
        <v>39</v>
      </c>
    </row>
    <row r="185" spans="2:4" x14ac:dyDescent="0.25">
      <c r="C185" s="36">
        <f>(0.901)*((C92*D8)/(2*(22/7)*C172*C141))</f>
        <v>2.3332486750622259</v>
      </c>
      <c r="D185" s="9"/>
    </row>
    <row r="186" spans="2:4" x14ac:dyDescent="0.25">
      <c r="C186" s="36"/>
      <c r="D186" s="9"/>
    </row>
    <row r="187" spans="2:4" x14ac:dyDescent="0.25">
      <c r="C187" s="36"/>
      <c r="D187" s="9"/>
    </row>
    <row r="188" spans="2:4" x14ac:dyDescent="0.25">
      <c r="C188" s="36"/>
      <c r="D188" s="9"/>
    </row>
    <row r="189" spans="2:4" x14ac:dyDescent="0.25">
      <c r="C189" s="36"/>
      <c r="D189" s="10" t="s">
        <v>38</v>
      </c>
    </row>
    <row r="190" spans="2:4" x14ac:dyDescent="0.25">
      <c r="B190" s="17" t="s">
        <v>37</v>
      </c>
    </row>
    <row r="192" spans="2:4" x14ac:dyDescent="0.25">
      <c r="C192" s="36">
        <f>SQRT(C185^2+C179^2)</f>
        <v>3.501381258064864</v>
      </c>
      <c r="D192" s="9"/>
    </row>
    <row r="193" spans="2:15" x14ac:dyDescent="0.25">
      <c r="C193" s="36"/>
      <c r="D193" s="9"/>
    </row>
    <row r="194" spans="2:15" x14ac:dyDescent="0.25">
      <c r="C194" s="36"/>
      <c r="D194" s="9"/>
    </row>
    <row r="195" spans="2:15" x14ac:dyDescent="0.25">
      <c r="C195" s="36"/>
      <c r="D195" s="10" t="s">
        <v>38</v>
      </c>
    </row>
    <row r="198" spans="2:15" x14ac:dyDescent="0.25">
      <c r="B198" s="33" t="s">
        <v>41</v>
      </c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200" spans="2:15" x14ac:dyDescent="0.25">
      <c r="B200" t="s">
        <v>42</v>
      </c>
    </row>
    <row r="202" spans="2:15" x14ac:dyDescent="0.25">
      <c r="C202" s="36">
        <f>D95*C179</f>
        <v>20.885395984215585</v>
      </c>
    </row>
    <row r="203" spans="2:15" x14ac:dyDescent="0.25">
      <c r="C203" s="36"/>
    </row>
    <row r="204" spans="2:15" x14ac:dyDescent="0.25">
      <c r="C204" s="36"/>
      <c r="D204" s="15" t="s">
        <v>38</v>
      </c>
    </row>
    <row r="207" spans="2:15" x14ac:dyDescent="0.25">
      <c r="B207" t="s">
        <v>43</v>
      </c>
    </row>
    <row r="208" spans="2:15" x14ac:dyDescent="0.25">
      <c r="B208" t="s">
        <v>44</v>
      </c>
    </row>
    <row r="210" spans="2:15" x14ac:dyDescent="0.25">
      <c r="C210" s="25">
        <f>(SQRT(2)*C202)/2</f>
        <v>14.768205128205128</v>
      </c>
    </row>
    <row r="211" spans="2:15" x14ac:dyDescent="0.25">
      <c r="C211" s="25"/>
    </row>
    <row r="212" spans="2:15" x14ac:dyDescent="0.25">
      <c r="C212" s="25"/>
    </row>
    <row r="213" spans="2:15" x14ac:dyDescent="0.25">
      <c r="C213" s="25"/>
    </row>
    <row r="214" spans="2:15" x14ac:dyDescent="0.25">
      <c r="C214" s="25"/>
      <c r="D214" s="15" t="s">
        <v>38</v>
      </c>
    </row>
    <row r="217" spans="2:15" x14ac:dyDescent="0.25">
      <c r="C217" s="25">
        <f>(SQRT(2)*C202)/(22/7)</f>
        <v>9.3979487179487187</v>
      </c>
    </row>
    <row r="218" spans="2:15" x14ac:dyDescent="0.25">
      <c r="C218" s="25"/>
    </row>
    <row r="219" spans="2:15" x14ac:dyDescent="0.25">
      <c r="C219" s="25"/>
    </row>
    <row r="220" spans="2:15" x14ac:dyDescent="0.25">
      <c r="C220" s="25"/>
    </row>
    <row r="221" spans="2:15" x14ac:dyDescent="0.25">
      <c r="C221" s="25"/>
      <c r="D221" s="15" t="s">
        <v>38</v>
      </c>
    </row>
    <row r="224" spans="2:15" x14ac:dyDescent="0.25">
      <c r="B224" s="33" t="s">
        <v>45</v>
      </c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</row>
    <row r="226" spans="2:15" x14ac:dyDescent="0.25">
      <c r="B226" t="s">
        <v>46</v>
      </c>
    </row>
    <row r="228" spans="2:15" x14ac:dyDescent="0.25">
      <c r="B228" s="17" t="s">
        <v>49</v>
      </c>
      <c r="C228" s="14">
        <f>D95</f>
        <v>8</v>
      </c>
    </row>
    <row r="229" spans="2:15" x14ac:dyDescent="0.25">
      <c r="B229" s="17" t="s">
        <v>50</v>
      </c>
      <c r="C229" s="14" t="s">
        <v>51</v>
      </c>
    </row>
    <row r="230" spans="2:15" x14ac:dyDescent="0.25">
      <c r="B230" s="17" t="s">
        <v>52</v>
      </c>
      <c r="C230" s="7">
        <f>C192</f>
        <v>3.501381258064864</v>
      </c>
    </row>
    <row r="231" spans="2:15" x14ac:dyDescent="0.25">
      <c r="B231" s="17" t="s">
        <v>54</v>
      </c>
      <c r="C231" s="14" t="s">
        <v>53</v>
      </c>
    </row>
    <row r="232" spans="2:15" ht="30" x14ac:dyDescent="0.25">
      <c r="B232" s="18" t="s">
        <v>55</v>
      </c>
      <c r="C232" s="11">
        <f>C210</f>
        <v>14.768205128205128</v>
      </c>
    </row>
    <row r="233" spans="2:15" x14ac:dyDescent="0.25">
      <c r="B233" s="17" t="s">
        <v>56</v>
      </c>
      <c r="C233" s="14">
        <f>C168</f>
        <v>130000</v>
      </c>
    </row>
    <row r="234" spans="2:15" x14ac:dyDescent="0.25">
      <c r="B234" s="17" t="s">
        <v>57</v>
      </c>
      <c r="C234" s="14">
        <f>C172</f>
        <v>83200</v>
      </c>
    </row>
    <row r="235" spans="2:15" x14ac:dyDescent="0.25">
      <c r="B235" s="18" t="s">
        <v>47</v>
      </c>
      <c r="C235" t="s">
        <v>48</v>
      </c>
    </row>
    <row r="237" spans="2:15" x14ac:dyDescent="0.25">
      <c r="B237" s="33" t="s">
        <v>58</v>
      </c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2:15" x14ac:dyDescent="0.25">
      <c r="B238" t="s">
        <v>59</v>
      </c>
    </row>
    <row r="240" spans="2:15" x14ac:dyDescent="0.25">
      <c r="B240" s="17" t="s">
        <v>61</v>
      </c>
      <c r="C240" s="14" t="str">
        <f>E139</f>
        <v>41.11 uH</v>
      </c>
    </row>
    <row r="241" spans="2:15" x14ac:dyDescent="0.25">
      <c r="B241" s="17" t="s">
        <v>62</v>
      </c>
      <c r="C241" s="7">
        <f>C192</f>
        <v>3.501381258064864</v>
      </c>
    </row>
    <row r="242" spans="2:15" x14ac:dyDescent="0.25">
      <c r="B242" s="17" t="s">
        <v>60</v>
      </c>
      <c r="C242" s="11">
        <f>2*(22/7)*C234*C136*C241</f>
        <v>75.330306220764442</v>
      </c>
    </row>
    <row r="244" spans="2:15" x14ac:dyDescent="0.25">
      <c r="B244" s="17" t="s">
        <v>63</v>
      </c>
      <c r="C244" s="14" t="s">
        <v>64</v>
      </c>
    </row>
    <row r="246" spans="2:15" x14ac:dyDescent="0.25">
      <c r="B246" s="33" t="s">
        <v>65</v>
      </c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</row>
    <row r="248" spans="2:15" x14ac:dyDescent="0.25">
      <c r="B248" t="s">
        <v>66</v>
      </c>
    </row>
    <row r="249" spans="2:15" x14ac:dyDescent="0.25">
      <c r="B249" t="s">
        <v>67</v>
      </c>
    </row>
    <row r="250" spans="2:15" x14ac:dyDescent="0.25">
      <c r="B250" t="s">
        <v>68</v>
      </c>
    </row>
    <row r="252" spans="2:15" x14ac:dyDescent="0.25">
      <c r="B252" t="s">
        <v>69</v>
      </c>
    </row>
    <row r="253" spans="2:15" x14ac:dyDescent="0.25">
      <c r="B253" t="s">
        <v>70</v>
      </c>
    </row>
    <row r="281" spans="2:3" x14ac:dyDescent="0.25">
      <c r="B281" t="s">
        <v>71</v>
      </c>
    </row>
    <row r="283" spans="2:3" x14ac:dyDescent="0.25">
      <c r="B283" s="17" t="s">
        <v>72</v>
      </c>
      <c r="C283" s="7">
        <f>C241</f>
        <v>3.501381258064864</v>
      </c>
    </row>
    <row r="284" spans="2:3" x14ac:dyDescent="0.25">
      <c r="B284" s="17" t="s">
        <v>73</v>
      </c>
      <c r="C284" s="11">
        <f>C283/(2*(22/7)*C234*C132)</f>
        <v>183.91188042178817</v>
      </c>
    </row>
    <row r="288" spans="2:3" x14ac:dyDescent="0.25">
      <c r="B288" s="17" t="s">
        <v>74</v>
      </c>
      <c r="C288" s="11">
        <f>SQRT(((E7/2)^2)+(C284)^2)</f>
        <v>273.55041539043236</v>
      </c>
    </row>
    <row r="294" spans="2:15" x14ac:dyDescent="0.25">
      <c r="B294" s="17" t="s">
        <v>75</v>
      </c>
      <c r="C294" s="11">
        <f>(E7/2)+(SQRT(2)*C284)</f>
        <v>462.59067557403176</v>
      </c>
    </row>
    <row r="299" spans="2:15" x14ac:dyDescent="0.25">
      <c r="B299" s="33" t="s">
        <v>76</v>
      </c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</row>
    <row r="301" spans="2:15" x14ac:dyDescent="0.25">
      <c r="B301" t="s">
        <v>77</v>
      </c>
    </row>
    <row r="303" spans="2:15" x14ac:dyDescent="0.25">
      <c r="C303" s="40">
        <f>E7</f>
        <v>405</v>
      </c>
    </row>
    <row r="304" spans="2:15" x14ac:dyDescent="0.25">
      <c r="C304" s="35"/>
    </row>
    <row r="305" spans="2:15" x14ac:dyDescent="0.25">
      <c r="C305" s="35"/>
      <c r="D305" s="22" t="s">
        <v>82</v>
      </c>
    </row>
    <row r="308" spans="2:15" x14ac:dyDescent="0.25">
      <c r="B308" t="s">
        <v>78</v>
      </c>
    </row>
    <row r="309" spans="2:15" x14ac:dyDescent="0.25">
      <c r="B309" t="s">
        <v>79</v>
      </c>
    </row>
    <row r="312" spans="2:15" x14ac:dyDescent="0.25">
      <c r="C312" s="36">
        <f>C241</f>
        <v>3.501381258064864</v>
      </c>
    </row>
    <row r="313" spans="2:15" x14ac:dyDescent="0.25">
      <c r="C313" s="35"/>
    </row>
    <row r="314" spans="2:15" x14ac:dyDescent="0.25">
      <c r="C314" s="35"/>
      <c r="D314" s="14" t="s">
        <v>38</v>
      </c>
    </row>
    <row r="317" spans="2:15" x14ac:dyDescent="0.25">
      <c r="B317" t="s">
        <v>80</v>
      </c>
    </row>
    <row r="318" spans="2:15" x14ac:dyDescent="0.25">
      <c r="B318" t="s">
        <v>81</v>
      </c>
    </row>
    <row r="320" spans="2:15" x14ac:dyDescent="0.25">
      <c r="B320" s="33" t="s">
        <v>83</v>
      </c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</row>
    <row r="322" spans="2:5" x14ac:dyDescent="0.25">
      <c r="B322" t="s">
        <v>84</v>
      </c>
    </row>
    <row r="323" spans="2:5" x14ac:dyDescent="0.25">
      <c r="B323" t="s">
        <v>85</v>
      </c>
    </row>
    <row r="324" spans="2:5" x14ac:dyDescent="0.25">
      <c r="B324" t="s">
        <v>86</v>
      </c>
    </row>
    <row r="327" spans="2:5" x14ac:dyDescent="0.25">
      <c r="D327" s="25">
        <f>(0.901*(D95*D8))/(2*(22/7)*C233*C141)</f>
        <v>1.5009369938451571</v>
      </c>
    </row>
    <row r="328" spans="2:5" x14ac:dyDescent="0.25">
      <c r="D328" s="25"/>
    </row>
    <row r="329" spans="2:5" x14ac:dyDescent="0.25">
      <c r="D329" s="25"/>
    </row>
    <row r="330" spans="2:5" x14ac:dyDescent="0.25">
      <c r="D330" s="25"/>
      <c r="E330" s="23" t="s">
        <v>38</v>
      </c>
    </row>
    <row r="331" spans="2:5" x14ac:dyDescent="0.25">
      <c r="B331" t="s">
        <v>87</v>
      </c>
    </row>
    <row r="333" spans="2:5" x14ac:dyDescent="0.25">
      <c r="C333" s="39">
        <f>0.5*(C141+C136)*((SQRT(2)*D327)^2)</f>
        <v>4.170516126373627E-4</v>
      </c>
      <c r="D333" s="9"/>
    </row>
    <row r="334" spans="2:5" x14ac:dyDescent="0.25">
      <c r="C334" s="39"/>
      <c r="D334" s="9"/>
    </row>
    <row r="335" spans="2:5" x14ac:dyDescent="0.25">
      <c r="C335" s="39"/>
      <c r="D335" s="9"/>
    </row>
    <row r="336" spans="2:5" x14ac:dyDescent="0.25">
      <c r="C336" s="39"/>
      <c r="D336" s="10" t="s">
        <v>113</v>
      </c>
    </row>
    <row r="337" spans="2:6" x14ac:dyDescent="0.25">
      <c r="B337" t="s">
        <v>88</v>
      </c>
    </row>
    <row r="339" spans="2:6" x14ac:dyDescent="0.25">
      <c r="C339" s="39">
        <f>(200*0.000000000001)*((E7)^2)</f>
        <v>3.2805000000000002E-5</v>
      </c>
      <c r="D339" s="9"/>
    </row>
    <row r="340" spans="2:6" x14ac:dyDescent="0.25">
      <c r="C340" s="39"/>
      <c r="D340" s="9"/>
    </row>
    <row r="341" spans="2:6" x14ac:dyDescent="0.25">
      <c r="C341" s="39"/>
      <c r="D341" s="9"/>
    </row>
    <row r="342" spans="2:6" x14ac:dyDescent="0.25">
      <c r="C342" s="39"/>
      <c r="D342" s="10" t="s">
        <v>89</v>
      </c>
    </row>
    <row r="344" spans="2:6" x14ac:dyDescent="0.25">
      <c r="F344" t="s">
        <v>91</v>
      </c>
    </row>
    <row r="350" spans="2:6" x14ac:dyDescent="0.25">
      <c r="B350" t="s">
        <v>90</v>
      </c>
    </row>
    <row r="352" spans="2:6" x14ac:dyDescent="0.25">
      <c r="C352" s="42">
        <f>16*200*0.000000000001*C233*C141</f>
        <v>5.9898195960578075E-8</v>
      </c>
    </row>
    <row r="353" spans="2:15" x14ac:dyDescent="0.25">
      <c r="C353" s="42"/>
    </row>
    <row r="354" spans="2:15" x14ac:dyDescent="0.25">
      <c r="C354" s="42"/>
    </row>
    <row r="355" spans="2:15" x14ac:dyDescent="0.25">
      <c r="C355" s="42"/>
      <c r="D355" s="10" t="s">
        <v>114</v>
      </c>
    </row>
    <row r="357" spans="2:15" x14ac:dyDescent="0.25">
      <c r="B357" s="9" t="s">
        <v>92</v>
      </c>
    </row>
    <row r="359" spans="2:15" x14ac:dyDescent="0.25">
      <c r="B359" s="33" t="s">
        <v>93</v>
      </c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</row>
    <row r="361" spans="2:15" x14ac:dyDescent="0.25">
      <c r="B361" t="s">
        <v>94</v>
      </c>
    </row>
    <row r="363" spans="2:15" x14ac:dyDescent="0.25">
      <c r="C363" s="40">
        <f>E7/D95</f>
        <v>50.625</v>
      </c>
    </row>
    <row r="364" spans="2:15" x14ac:dyDescent="0.25">
      <c r="C364" s="40"/>
    </row>
    <row r="365" spans="2:15" x14ac:dyDescent="0.25">
      <c r="C365" s="40"/>
      <c r="D365" s="9" t="s">
        <v>119</v>
      </c>
    </row>
    <row r="367" spans="2:15" x14ac:dyDescent="0.25">
      <c r="B367" t="s">
        <v>95</v>
      </c>
    </row>
    <row r="369" spans="2:15" x14ac:dyDescent="0.25">
      <c r="C369" s="25">
        <f>(SQRT(2)*C202)/(22/7)</f>
        <v>9.3979487179487187</v>
      </c>
    </row>
    <row r="370" spans="2:15" x14ac:dyDescent="0.25">
      <c r="C370" s="25"/>
    </row>
    <row r="371" spans="2:15" x14ac:dyDescent="0.25">
      <c r="C371" s="25"/>
    </row>
    <row r="372" spans="2:15" x14ac:dyDescent="0.25">
      <c r="C372" s="25"/>
      <c r="D372" s="23" t="s">
        <v>38</v>
      </c>
    </row>
    <row r="374" spans="2:15" x14ac:dyDescent="0.25">
      <c r="B374" s="33" t="s">
        <v>96</v>
      </c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</row>
    <row r="376" spans="2:15" x14ac:dyDescent="0.25">
      <c r="B376" t="s">
        <v>97</v>
      </c>
    </row>
    <row r="377" spans="2:15" x14ac:dyDescent="0.25">
      <c r="B377" t="s">
        <v>98</v>
      </c>
    </row>
    <row r="378" spans="2:15" x14ac:dyDescent="0.25">
      <c r="B378" t="s">
        <v>99</v>
      </c>
    </row>
    <row r="380" spans="2:15" x14ac:dyDescent="0.25">
      <c r="B380" t="s">
        <v>100</v>
      </c>
    </row>
    <row r="388" spans="2:5" x14ac:dyDescent="0.25">
      <c r="B388" t="s">
        <v>101</v>
      </c>
    </row>
    <row r="391" spans="2:5" x14ac:dyDescent="0.25">
      <c r="D391" s="25">
        <f>(SQRT((((22/7)^2)/8)-1))*D9</f>
        <v>8.2356864080806815</v>
      </c>
    </row>
    <row r="392" spans="2:5" x14ac:dyDescent="0.25">
      <c r="D392" s="25"/>
    </row>
    <row r="393" spans="2:5" x14ac:dyDescent="0.25">
      <c r="D393" s="25"/>
    </row>
    <row r="394" spans="2:5" x14ac:dyDescent="0.25">
      <c r="D394" s="25"/>
    </row>
    <row r="395" spans="2:5" x14ac:dyDescent="0.25">
      <c r="D395" s="25"/>
    </row>
    <row r="396" spans="2:5" x14ac:dyDescent="0.25">
      <c r="D396" s="25"/>
      <c r="E396" s="23" t="s">
        <v>38</v>
      </c>
    </row>
    <row r="398" spans="2:5" x14ac:dyDescent="0.25">
      <c r="B398" t="s">
        <v>102</v>
      </c>
    </row>
    <row r="399" spans="2:5" x14ac:dyDescent="0.25">
      <c r="B399" t="s">
        <v>103</v>
      </c>
    </row>
    <row r="401" spans="2:5" x14ac:dyDescent="0.25">
      <c r="B401" t="s">
        <v>143</v>
      </c>
    </row>
    <row r="404" spans="2:5" x14ac:dyDescent="0.25">
      <c r="D404" s="41">
        <f>0.24/(((22/7)/2)*D9)</f>
        <v>8.9839572192513366E-3</v>
      </c>
    </row>
    <row r="405" spans="2:5" x14ac:dyDescent="0.25">
      <c r="D405" s="41"/>
    </row>
    <row r="406" spans="2:5" x14ac:dyDescent="0.25">
      <c r="D406" s="41"/>
    </row>
    <row r="407" spans="2:5" x14ac:dyDescent="0.25">
      <c r="D407" s="41"/>
    </row>
    <row r="408" spans="2:5" x14ac:dyDescent="0.25">
      <c r="D408" s="41"/>
    </row>
    <row r="409" spans="2:5" x14ac:dyDescent="0.25">
      <c r="D409" s="41"/>
      <c r="E409" s="10" t="s">
        <v>144</v>
      </c>
    </row>
    <row r="411" spans="2:5" x14ac:dyDescent="0.25">
      <c r="B411" s="9" t="s">
        <v>104</v>
      </c>
    </row>
    <row r="413" spans="2:5" x14ac:dyDescent="0.25">
      <c r="B413" s="9" t="s">
        <v>142</v>
      </c>
    </row>
    <row r="414" spans="2:5" x14ac:dyDescent="0.25">
      <c r="B414" s="9" t="s">
        <v>115</v>
      </c>
    </row>
    <row r="415" spans="2:5" x14ac:dyDescent="0.25">
      <c r="B415" s="9" t="s">
        <v>145</v>
      </c>
    </row>
    <row r="417" spans="2:7" x14ac:dyDescent="0.25">
      <c r="B417" s="9" t="s">
        <v>105</v>
      </c>
    </row>
    <row r="419" spans="2:7" x14ac:dyDescent="0.25">
      <c r="B419" s="9" t="s">
        <v>116</v>
      </c>
    </row>
    <row r="420" spans="2:7" x14ac:dyDescent="0.25">
      <c r="B420" s="9" t="s">
        <v>117</v>
      </c>
    </row>
    <row r="423" spans="2:7" x14ac:dyDescent="0.25">
      <c r="B423" s="9" t="s">
        <v>120</v>
      </c>
      <c r="F423" s="9" t="s">
        <v>121</v>
      </c>
    </row>
    <row r="424" spans="2:7" x14ac:dyDescent="0.25">
      <c r="F424" s="9" t="s">
        <v>122</v>
      </c>
    </row>
    <row r="425" spans="2:7" x14ac:dyDescent="0.25">
      <c r="C425" s="43">
        <f>(D95*(D8+D17))/(2*C233*G426*97.1*0.000001)</f>
        <v>39.92711716707597</v>
      </c>
      <c r="F425" s="9" t="s">
        <v>123</v>
      </c>
    </row>
    <row r="426" spans="2:7" x14ac:dyDescent="0.25">
      <c r="C426" s="44"/>
      <c r="F426" s="22" t="s">
        <v>124</v>
      </c>
      <c r="G426" s="22">
        <v>0.2</v>
      </c>
    </row>
    <row r="427" spans="2:7" x14ac:dyDescent="0.25">
      <c r="C427" s="45"/>
      <c r="D427" s="22">
        <v>40</v>
      </c>
    </row>
    <row r="429" spans="2:7" x14ac:dyDescent="0.25">
      <c r="B429" s="9" t="s">
        <v>125</v>
      </c>
    </row>
    <row r="431" spans="2:7" x14ac:dyDescent="0.25">
      <c r="B431" s="13" t="s">
        <v>126</v>
      </c>
      <c r="C431" s="16">
        <f>D427/D95</f>
        <v>5</v>
      </c>
    </row>
    <row r="433" spans="2:2" x14ac:dyDescent="0.25">
      <c r="B433" s="9" t="s">
        <v>127</v>
      </c>
    </row>
    <row r="434" spans="2:2" x14ac:dyDescent="0.25">
      <c r="B434" s="9" t="s">
        <v>128</v>
      </c>
    </row>
    <row r="435" spans="2:2" x14ac:dyDescent="0.25">
      <c r="B435" s="9" t="s">
        <v>129</v>
      </c>
    </row>
    <row r="436" spans="2:2" x14ac:dyDescent="0.25">
      <c r="B436" s="9" t="s">
        <v>130</v>
      </c>
    </row>
    <row r="437" spans="2:2" x14ac:dyDescent="0.25">
      <c r="B437" s="9" t="s">
        <v>131</v>
      </c>
    </row>
    <row r="439" spans="2:2" x14ac:dyDescent="0.25">
      <c r="B439" s="9" t="s">
        <v>132</v>
      </c>
    </row>
    <row r="468" spans="2:9" x14ac:dyDescent="0.25">
      <c r="B468" s="9" t="s">
        <v>133</v>
      </c>
    </row>
    <row r="469" spans="2:9" x14ac:dyDescent="0.25">
      <c r="F469" s="9" t="s">
        <v>134</v>
      </c>
    </row>
    <row r="470" spans="2:9" x14ac:dyDescent="0.25">
      <c r="D470" s="46">
        <f>(D9/(2*SQRT(3)*(22/7)*H473*H471*0.000001))*((22/7)-2)</f>
        <v>0.17845371956770253</v>
      </c>
    </row>
    <row r="471" spans="2:9" x14ac:dyDescent="0.25">
      <c r="D471" s="47"/>
      <c r="F471" s="24" t="s">
        <v>118</v>
      </c>
      <c r="G471" s="24"/>
      <c r="H471" s="1">
        <v>100</v>
      </c>
      <c r="I471" s="1" t="s">
        <v>135</v>
      </c>
    </row>
    <row r="472" spans="2:9" x14ac:dyDescent="0.25">
      <c r="D472" s="47"/>
      <c r="F472" s="49" t="s">
        <v>136</v>
      </c>
      <c r="G472" s="50"/>
      <c r="H472" s="1">
        <v>4</v>
      </c>
      <c r="I472" s="1" t="s">
        <v>137</v>
      </c>
    </row>
    <row r="473" spans="2:9" x14ac:dyDescent="0.25">
      <c r="D473" s="47"/>
      <c r="F473" s="24" t="s">
        <v>138</v>
      </c>
      <c r="G473" s="24"/>
      <c r="H473" s="2">
        <v>100000</v>
      </c>
      <c r="I473" s="1" t="s">
        <v>139</v>
      </c>
    </row>
    <row r="474" spans="2:9" x14ac:dyDescent="0.25">
      <c r="D474" s="47"/>
    </row>
    <row r="475" spans="2:9" x14ac:dyDescent="0.25">
      <c r="D475" s="48"/>
      <c r="E475" s="16" t="s">
        <v>140</v>
      </c>
    </row>
    <row r="476" spans="2:9" x14ac:dyDescent="0.25">
      <c r="E476" s="1" t="s">
        <v>146</v>
      </c>
    </row>
    <row r="479" spans="2:9" x14ac:dyDescent="0.25">
      <c r="B479" s="9"/>
    </row>
    <row r="496" spans="3:3" x14ac:dyDescent="0.25">
      <c r="C496" s="34">
        <f>4*D95*D9/(22/7)</f>
        <v>173.09090909090909</v>
      </c>
    </row>
    <row r="497" spans="2:4" x14ac:dyDescent="0.25">
      <c r="C497" s="34"/>
    </row>
    <row r="498" spans="2:4" x14ac:dyDescent="0.25">
      <c r="C498" s="34"/>
    </row>
    <row r="499" spans="2:4" x14ac:dyDescent="0.25">
      <c r="C499" s="34"/>
    </row>
    <row r="500" spans="2:4" x14ac:dyDescent="0.25">
      <c r="C500" s="34"/>
    </row>
    <row r="501" spans="2:4" x14ac:dyDescent="0.25">
      <c r="C501" s="34"/>
      <c r="D501" s="9" t="s">
        <v>140</v>
      </c>
    </row>
    <row r="503" spans="2:4" x14ac:dyDescent="0.25">
      <c r="B503" s="17" t="s">
        <v>141</v>
      </c>
    </row>
  </sheetData>
  <mergeCells count="52">
    <mergeCell ref="C159:C163"/>
    <mergeCell ref="C425:C427"/>
    <mergeCell ref="D470:D475"/>
    <mergeCell ref="F471:G471"/>
    <mergeCell ref="F472:G472"/>
    <mergeCell ref="F473:G473"/>
    <mergeCell ref="C179:C181"/>
    <mergeCell ref="C185:C189"/>
    <mergeCell ref="C192:C195"/>
    <mergeCell ref="B198:O198"/>
    <mergeCell ref="C202:C204"/>
    <mergeCell ref="C210:C214"/>
    <mergeCell ref="C217:C221"/>
    <mergeCell ref="B224:O224"/>
    <mergeCell ref="B237:O237"/>
    <mergeCell ref="B246:O246"/>
    <mergeCell ref="C132:C134"/>
    <mergeCell ref="C141:C143"/>
    <mergeCell ref="B145:O145"/>
    <mergeCell ref="C147:C150"/>
    <mergeCell ref="C153:C156"/>
    <mergeCell ref="B2:S3"/>
    <mergeCell ref="B20:E21"/>
    <mergeCell ref="B47:G48"/>
    <mergeCell ref="B90:O90"/>
    <mergeCell ref="B175:O175"/>
    <mergeCell ref="C136:C139"/>
    <mergeCell ref="C92:C95"/>
    <mergeCell ref="B97:O97"/>
    <mergeCell ref="C99:C102"/>
    <mergeCell ref="C105:C108"/>
    <mergeCell ref="B110:J110"/>
    <mergeCell ref="B112:O112"/>
    <mergeCell ref="B120:O120"/>
    <mergeCell ref="C122:C124"/>
    <mergeCell ref="B129:O129"/>
    <mergeCell ref="B130:H130"/>
    <mergeCell ref="B299:O299"/>
    <mergeCell ref="C303:C305"/>
    <mergeCell ref="C312:C314"/>
    <mergeCell ref="B320:O320"/>
    <mergeCell ref="D327:D330"/>
    <mergeCell ref="C333:C336"/>
    <mergeCell ref="C339:C342"/>
    <mergeCell ref="C352:C355"/>
    <mergeCell ref="B359:O359"/>
    <mergeCell ref="C363:C365"/>
    <mergeCell ref="C496:C501"/>
    <mergeCell ref="B374:O374"/>
    <mergeCell ref="D391:D396"/>
    <mergeCell ref="D404:D409"/>
    <mergeCell ref="C369:C37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Design - 24.5V @ 17A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2014-05-09T16:03:23Z</dcterms:modified>
</cp:coreProperties>
</file>